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.praetor\docs\7a47b277\Tracked\36dc2020-02e1-46fd-a423-ae4a811b0e52\cbeda4e3-5645-4e64-a64f-bd842b037783\"/>
    </mc:Choice>
  </mc:AlternateContent>
  <bookViews>
    <workbookView xWindow="-105" yWindow="-105" windowWidth="23250" windowHeight="12450" tabRatio="429"/>
  </bookViews>
  <sheets>
    <sheet name="VÝKAZ VÝMĚR" sheetId="1" r:id="rId1"/>
  </sheets>
  <definedNames>
    <definedName name="__xlnm.Print_Area_1">'VÝKAZ VÝMĚR'!$A$61:$L$413</definedName>
    <definedName name="Excel_BuiltIn_Print_Area_1_1">'VÝKAZ VÝMĚR'!$A$61:$L$413</definedName>
    <definedName name="Excel_BuiltIn_Print_Area_1_1_1">'VÝKAZ VÝMĚR'!$A$61:$L$413</definedName>
    <definedName name="Excel_BuiltIn_Print_Area_1_1_1_1">'VÝKAZ VÝMĚR'!$A$134:$L$413</definedName>
    <definedName name="Excel_BuiltIn_Print_Area_2">"#REF!"</definedName>
    <definedName name="Excel_BuiltIn_Print_Area_2_1">"#REF!"</definedName>
    <definedName name="_xlnm.Print_Area" localSheetId="0">'VÝKAZ VÝMĚR'!$A$1:$L$414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6" i="1" l="1"/>
  <c r="G380" i="1"/>
  <c r="E380" i="1"/>
  <c r="G378" i="1"/>
  <c r="E378" i="1"/>
  <c r="G385" i="1"/>
  <c r="F385" i="1"/>
  <c r="E385" i="1"/>
  <c r="L387" i="1"/>
  <c r="J385" i="1" l="1"/>
  <c r="L385" i="1" s="1"/>
  <c r="L386" i="1" s="1"/>
  <c r="F378" i="1"/>
  <c r="F379" i="1" s="1"/>
  <c r="G379" i="1"/>
  <c r="I378" i="1"/>
  <c r="I379" i="1" s="1"/>
  <c r="F382" i="1"/>
  <c r="G382" i="1"/>
  <c r="H382" i="1"/>
  <c r="I382" i="1"/>
  <c r="E382" i="1"/>
  <c r="F381" i="1"/>
  <c r="G381" i="1"/>
  <c r="H381" i="1"/>
  <c r="I381" i="1"/>
  <c r="E381" i="1"/>
  <c r="F380" i="1"/>
  <c r="I380" i="1"/>
  <c r="G370" i="1"/>
  <c r="E116" i="1"/>
  <c r="G116" i="1"/>
  <c r="H116" i="1"/>
  <c r="H97" i="1"/>
  <c r="E97" i="1"/>
  <c r="E254" i="1" s="1"/>
  <c r="G97" i="1"/>
  <c r="J84" i="1"/>
  <c r="J86" i="1"/>
  <c r="J87" i="1"/>
  <c r="L87" i="1" s="1"/>
  <c r="J88" i="1"/>
  <c r="L88" i="1" s="1"/>
  <c r="J89" i="1"/>
  <c r="J90" i="1"/>
  <c r="J91" i="1"/>
  <c r="J92" i="1"/>
  <c r="J93" i="1"/>
  <c r="L93" i="1" s="1"/>
  <c r="J94" i="1"/>
  <c r="J95" i="1"/>
  <c r="L95" i="1" s="1"/>
  <c r="J96" i="1"/>
  <c r="L96" i="1" s="1"/>
  <c r="H232" i="1"/>
  <c r="H287" i="1"/>
  <c r="I346" i="1"/>
  <c r="I341" i="1"/>
  <c r="I344" i="1" s="1"/>
  <c r="I343" i="1" s="1"/>
  <c r="I340" i="1"/>
  <c r="I339" i="1"/>
  <c r="I337" i="1"/>
  <c r="I338" i="1" s="1"/>
  <c r="I336" i="1"/>
  <c r="I335" i="1"/>
  <c r="I334" i="1"/>
  <c r="I333" i="1"/>
  <c r="I332" i="1"/>
  <c r="I301" i="1"/>
  <c r="H301" i="1"/>
  <c r="H233" i="1"/>
  <c r="F301" i="1"/>
  <c r="E302" i="1"/>
  <c r="E238" i="1"/>
  <c r="E239" i="1" s="1"/>
  <c r="J127" i="1"/>
  <c r="J128" i="1"/>
  <c r="J129" i="1"/>
  <c r="J130" i="1"/>
  <c r="J131" i="1"/>
  <c r="J126" i="1"/>
  <c r="E124" i="1"/>
  <c r="E110" i="1"/>
  <c r="J85" i="1"/>
  <c r="L85" i="1" s="1"/>
  <c r="J76" i="1"/>
  <c r="J77" i="1"/>
  <c r="J78" i="1"/>
  <c r="J79" i="1"/>
  <c r="J75" i="1"/>
  <c r="G204" i="1"/>
  <c r="H231" i="1" l="1"/>
  <c r="J132" i="1"/>
  <c r="J97" i="1"/>
  <c r="L84" i="1"/>
  <c r="J288" i="1"/>
  <c r="L288" i="1" s="1"/>
  <c r="J285" i="1"/>
  <c r="L285" i="1" s="1"/>
  <c r="J286" i="1"/>
  <c r="L286" i="1" s="1"/>
  <c r="J287" i="1"/>
  <c r="L287" i="1" s="1"/>
  <c r="I345" i="1"/>
  <c r="I342" i="1"/>
  <c r="F80" i="1" l="1"/>
  <c r="G278" i="1"/>
  <c r="F275" i="1"/>
  <c r="H277" i="1"/>
  <c r="J204" i="1"/>
  <c r="H380" i="1" l="1"/>
  <c r="H378" i="1"/>
  <c r="H379" i="1" s="1"/>
  <c r="H275" i="1"/>
  <c r="F302" i="1"/>
  <c r="F300" i="1"/>
  <c r="F375" i="1" l="1"/>
  <c r="F370" i="1"/>
  <c r="J403" i="1"/>
  <c r="L403" i="1" s="1"/>
  <c r="J404" i="1"/>
  <c r="L404" i="1" s="1"/>
  <c r="J408" i="1" l="1"/>
  <c r="L408" i="1" s="1"/>
  <c r="J407" i="1"/>
  <c r="L407" i="1" s="1"/>
  <c r="I201" i="1"/>
  <c r="H201" i="1"/>
  <c r="G201" i="1"/>
  <c r="I194" i="1"/>
  <c r="H194" i="1"/>
  <c r="G194" i="1"/>
  <c r="I189" i="1"/>
  <c r="H189" i="1"/>
  <c r="G189" i="1"/>
  <c r="I184" i="1"/>
  <c r="H184" i="1"/>
  <c r="G184" i="1"/>
  <c r="I179" i="1"/>
  <c r="H179" i="1"/>
  <c r="G179" i="1"/>
  <c r="I174" i="1"/>
  <c r="H174" i="1"/>
  <c r="G174" i="1"/>
  <c r="I169" i="1"/>
  <c r="H169" i="1"/>
  <c r="G169" i="1"/>
  <c r="I161" i="1"/>
  <c r="H161" i="1"/>
  <c r="G161" i="1"/>
  <c r="I156" i="1"/>
  <c r="H156" i="1"/>
  <c r="G156" i="1"/>
  <c r="I152" i="1"/>
  <c r="H152" i="1"/>
  <c r="G152" i="1"/>
  <c r="I147" i="1"/>
  <c r="H147" i="1"/>
  <c r="G147" i="1"/>
  <c r="G358" i="1"/>
  <c r="I363" i="1"/>
  <c r="I362" i="1"/>
  <c r="I359" i="1"/>
  <c r="I361" i="1" s="1"/>
  <c r="I358" i="1"/>
  <c r="I357" i="1"/>
  <c r="I356" i="1"/>
  <c r="I355" i="1"/>
  <c r="I354" i="1"/>
  <c r="I353" i="1"/>
  <c r="I352" i="1"/>
  <c r="H363" i="1"/>
  <c r="H362" i="1"/>
  <c r="H359" i="1"/>
  <c r="H361" i="1" s="1"/>
  <c r="H358" i="1"/>
  <c r="H357" i="1"/>
  <c r="H356" i="1"/>
  <c r="H355" i="1"/>
  <c r="H354" i="1"/>
  <c r="H353" i="1"/>
  <c r="H352" i="1"/>
  <c r="G354" i="1"/>
  <c r="G352" i="1"/>
  <c r="G363" i="1"/>
  <c r="G332" i="1"/>
  <c r="H332" i="1"/>
  <c r="G333" i="1"/>
  <c r="H333" i="1"/>
  <c r="G334" i="1"/>
  <c r="H334" i="1"/>
  <c r="G335" i="1"/>
  <c r="H335" i="1"/>
  <c r="G336" i="1"/>
  <c r="H336" i="1"/>
  <c r="G337" i="1"/>
  <c r="G338" i="1" s="1"/>
  <c r="H337" i="1"/>
  <c r="H338" i="1" s="1"/>
  <c r="G339" i="1"/>
  <c r="H339" i="1"/>
  <c r="G340" i="1"/>
  <c r="H340" i="1"/>
  <c r="G341" i="1"/>
  <c r="G342" i="1" s="1"/>
  <c r="H341" i="1"/>
  <c r="H342" i="1" s="1"/>
  <c r="G346" i="1"/>
  <c r="H346" i="1"/>
  <c r="I325" i="1"/>
  <c r="H325" i="1"/>
  <c r="I80" i="1"/>
  <c r="H80" i="1"/>
  <c r="G326" i="1"/>
  <c r="G325" i="1"/>
  <c r="J293" i="1"/>
  <c r="L293" i="1" s="1"/>
  <c r="J294" i="1"/>
  <c r="L294" i="1" s="1"/>
  <c r="H292" i="1"/>
  <c r="H235" i="1"/>
  <c r="H237" i="1" s="1"/>
  <c r="H242" i="1"/>
  <c r="H234" i="1"/>
  <c r="H271" i="1"/>
  <c r="H272" i="1" s="1"/>
  <c r="H274" i="1"/>
  <c r="G279" i="1"/>
  <c r="H279" i="1"/>
  <c r="I279" i="1"/>
  <c r="G280" i="1"/>
  <c r="I280" i="1"/>
  <c r="G274" i="1"/>
  <c r="G271" i="1"/>
  <c r="G272" i="1" s="1"/>
  <c r="G258" i="1"/>
  <c r="G259" i="1"/>
  <c r="G257" i="1"/>
  <c r="J115" i="1"/>
  <c r="L115" i="1" s="1"/>
  <c r="G110" i="1"/>
  <c r="G256" i="1" s="1"/>
  <c r="I257" i="1"/>
  <c r="I261" i="1" s="1"/>
  <c r="I256" i="1"/>
  <c r="I260" i="1" s="1"/>
  <c r="H255" i="1"/>
  <c r="H259" i="1" s="1"/>
  <c r="I255" i="1"/>
  <c r="I259" i="1" s="1"/>
  <c r="H254" i="1"/>
  <c r="H258" i="1" s="1"/>
  <c r="I254" i="1"/>
  <c r="I258" i="1" s="1"/>
  <c r="I253" i="1"/>
  <c r="G246" i="1"/>
  <c r="G247" i="1" s="1"/>
  <c r="J247" i="1" s="1"/>
  <c r="L247" i="1" s="1"/>
  <c r="J245" i="1"/>
  <c r="L245" i="1" s="1"/>
  <c r="G242" i="1"/>
  <c r="G235" i="1"/>
  <c r="G237" i="1" s="1"/>
  <c r="G234" i="1"/>
  <c r="J140" i="1"/>
  <c r="I142" i="1"/>
  <c r="J223" i="1"/>
  <c r="L223" i="1" s="1"/>
  <c r="H142" i="1"/>
  <c r="G142" i="1"/>
  <c r="L78" i="1"/>
  <c r="J74" i="1"/>
  <c r="L74" i="1" s="1"/>
  <c r="L126" i="1"/>
  <c r="L127" i="1"/>
  <c r="L128" i="1"/>
  <c r="L129" i="1"/>
  <c r="L130" i="1"/>
  <c r="L131" i="1"/>
  <c r="H132" i="1"/>
  <c r="H289" i="1" s="1"/>
  <c r="J106" i="1"/>
  <c r="L106" i="1" s="1"/>
  <c r="H110" i="1"/>
  <c r="H256" i="1" s="1"/>
  <c r="H260" i="1" s="1"/>
  <c r="J103" i="1"/>
  <c r="L103" i="1" s="1"/>
  <c r="J121" i="1"/>
  <c r="L121" i="1" s="1"/>
  <c r="J122" i="1"/>
  <c r="L122" i="1" s="1"/>
  <c r="J123" i="1"/>
  <c r="L123" i="1" s="1"/>
  <c r="H124" i="1"/>
  <c r="H257" i="1" s="1"/>
  <c r="H261" i="1" s="1"/>
  <c r="J73" i="1"/>
  <c r="H302" i="1" l="1"/>
  <c r="H300" i="1"/>
  <c r="I302" i="1"/>
  <c r="I326" i="1" s="1"/>
  <c r="I300" i="1"/>
  <c r="H290" i="1"/>
  <c r="H291" i="1"/>
  <c r="J291" i="1" s="1"/>
  <c r="L291" i="1" s="1"/>
  <c r="L224" i="1"/>
  <c r="L225" i="1" s="1"/>
  <c r="G324" i="1"/>
  <c r="G371" i="1"/>
  <c r="G316" i="1"/>
  <c r="G315" i="1"/>
  <c r="L73" i="1"/>
  <c r="H326" i="1"/>
  <c r="I262" i="1"/>
  <c r="L409" i="1"/>
  <c r="H345" i="1"/>
  <c r="G375" i="1"/>
  <c r="G373" i="1"/>
  <c r="G374" i="1"/>
  <c r="G372" i="1"/>
  <c r="G260" i="1"/>
  <c r="G263" i="1"/>
  <c r="G266" i="1"/>
  <c r="G269" i="1"/>
  <c r="G261" i="1"/>
  <c r="G264" i="1"/>
  <c r="G267" i="1"/>
  <c r="G270" i="1"/>
  <c r="I269" i="1"/>
  <c r="I266" i="1"/>
  <c r="I263" i="1"/>
  <c r="H269" i="1"/>
  <c r="H266" i="1"/>
  <c r="H263" i="1"/>
  <c r="G262" i="1"/>
  <c r="H276" i="1"/>
  <c r="H278" i="1" s="1"/>
  <c r="G305" i="1"/>
  <c r="G311" i="1"/>
  <c r="G313" i="1"/>
  <c r="G317" i="1"/>
  <c r="G318" i="1" s="1"/>
  <c r="G345" i="1"/>
  <c r="G344" i="1"/>
  <c r="G343" i="1" s="1"/>
  <c r="G356" i="1"/>
  <c r="G360" i="1"/>
  <c r="G362" i="1"/>
  <c r="G353" i="1"/>
  <c r="G355" i="1"/>
  <c r="G357" i="1"/>
  <c r="G359" i="1"/>
  <c r="G361" i="1" s="1"/>
  <c r="H344" i="1"/>
  <c r="H343" i="1" s="1"/>
  <c r="I303" i="1"/>
  <c r="G321" i="1"/>
  <c r="H303" i="1"/>
  <c r="G304" i="1"/>
  <c r="I304" i="1"/>
  <c r="G306" i="1"/>
  <c r="G308" i="1"/>
  <c r="G307" i="1" s="1"/>
  <c r="G310" i="1"/>
  <c r="G309" i="1" s="1"/>
  <c r="G312" i="1"/>
  <c r="G314" i="1"/>
  <c r="H321" i="1"/>
  <c r="G322" i="1"/>
  <c r="I322" i="1"/>
  <c r="H270" i="1"/>
  <c r="H267" i="1"/>
  <c r="H264" i="1"/>
  <c r="I270" i="1"/>
  <c r="I267" i="1"/>
  <c r="I264" i="1"/>
  <c r="H280" i="1"/>
  <c r="H262" i="1" s="1"/>
  <c r="J246" i="1"/>
  <c r="L246" i="1" s="1"/>
  <c r="G253" i="1"/>
  <c r="G248" i="1"/>
  <c r="J248" i="1" s="1"/>
  <c r="L248" i="1" s="1"/>
  <c r="H253" i="1"/>
  <c r="L79" i="1"/>
  <c r="F199" i="1"/>
  <c r="F200" i="1" s="1"/>
  <c r="F201" i="1" s="1"/>
  <c r="F192" i="1"/>
  <c r="F193" i="1" s="1"/>
  <c r="F194" i="1" s="1"/>
  <c r="F187" i="1"/>
  <c r="F188" i="1" s="1"/>
  <c r="F189" i="1" s="1"/>
  <c r="F182" i="1"/>
  <c r="F183" i="1" s="1"/>
  <c r="F184" i="1" s="1"/>
  <c r="F177" i="1"/>
  <c r="F178" i="1" s="1"/>
  <c r="F179" i="1" s="1"/>
  <c r="F172" i="1"/>
  <c r="F173" i="1" s="1"/>
  <c r="F174" i="1" s="1"/>
  <c r="F167" i="1"/>
  <c r="F168" i="1" s="1"/>
  <c r="F169" i="1" s="1"/>
  <c r="J240" i="1"/>
  <c r="L240" i="1" s="1"/>
  <c r="J238" i="1"/>
  <c r="L238" i="1" s="1"/>
  <c r="J399" i="1"/>
  <c r="L399" i="1" s="1"/>
  <c r="J396" i="1"/>
  <c r="L396" i="1" s="1"/>
  <c r="J398" i="1"/>
  <c r="L398" i="1" s="1"/>
  <c r="J402" i="1"/>
  <c r="L402" i="1" s="1"/>
  <c r="L405" i="1" s="1"/>
  <c r="J397" i="1"/>
  <c r="L397" i="1" s="1"/>
  <c r="I375" i="1" l="1"/>
  <c r="I370" i="1"/>
  <c r="H370" i="1"/>
  <c r="H375" i="1"/>
  <c r="I317" i="1"/>
  <c r="I318" i="1" s="1"/>
  <c r="I315" i="1"/>
  <c r="I316" i="1"/>
  <c r="H317" i="1"/>
  <c r="H318" i="1" s="1"/>
  <c r="H371" i="1"/>
  <c r="H316" i="1"/>
  <c r="H315" i="1"/>
  <c r="H304" i="1"/>
  <c r="H322" i="1"/>
  <c r="H323" i="1" s="1"/>
  <c r="I310" i="1"/>
  <c r="I309" i="1" s="1"/>
  <c r="H311" i="1"/>
  <c r="H324" i="1"/>
  <c r="H314" i="1"/>
  <c r="I305" i="1"/>
  <c r="I313" i="1"/>
  <c r="H313" i="1"/>
  <c r="H306" i="1"/>
  <c r="H372" i="1"/>
  <c r="H308" i="1"/>
  <c r="H307" i="1" s="1"/>
  <c r="H373" i="1"/>
  <c r="H310" i="1"/>
  <c r="H309" i="1" s="1"/>
  <c r="I372" i="1"/>
  <c r="I312" i="1"/>
  <c r="I311" i="1"/>
  <c r="I306" i="1"/>
  <c r="I373" i="1"/>
  <c r="I314" i="1"/>
  <c r="I308" i="1"/>
  <c r="I307" i="1" s="1"/>
  <c r="I324" i="1"/>
  <c r="I374" i="1"/>
  <c r="I371" i="1"/>
  <c r="H374" i="1"/>
  <c r="H312" i="1"/>
  <c r="H305" i="1"/>
  <c r="H268" i="1"/>
  <c r="I268" i="1"/>
  <c r="L249" i="1"/>
  <c r="H265" i="1"/>
  <c r="G268" i="1"/>
  <c r="I265" i="1"/>
  <c r="G265" i="1"/>
  <c r="I323" i="1"/>
  <c r="G323" i="1"/>
  <c r="L400" i="1"/>
  <c r="F358" i="1" l="1"/>
  <c r="E352" i="1"/>
  <c r="E353" i="1"/>
  <c r="E354" i="1"/>
  <c r="E355" i="1"/>
  <c r="E356" i="1"/>
  <c r="E357" i="1"/>
  <c r="E358" i="1"/>
  <c r="E359" i="1"/>
  <c r="E362" i="1"/>
  <c r="E363" i="1"/>
  <c r="F351" i="1"/>
  <c r="J331" i="1"/>
  <c r="E332" i="1"/>
  <c r="F332" i="1"/>
  <c r="E333" i="1"/>
  <c r="F333" i="1"/>
  <c r="E334" i="1"/>
  <c r="F334" i="1"/>
  <c r="E335" i="1"/>
  <c r="F335" i="1"/>
  <c r="E336" i="1"/>
  <c r="F336" i="1"/>
  <c r="E337" i="1"/>
  <c r="E338" i="1" s="1"/>
  <c r="F337" i="1"/>
  <c r="F338" i="1" s="1"/>
  <c r="E339" i="1"/>
  <c r="F339" i="1"/>
  <c r="E340" i="1"/>
  <c r="F340" i="1"/>
  <c r="E341" i="1"/>
  <c r="E342" i="1" s="1"/>
  <c r="F341" i="1"/>
  <c r="F342" i="1" s="1"/>
  <c r="E346" i="1"/>
  <c r="F346" i="1"/>
  <c r="F303" i="1"/>
  <c r="J299" i="1"/>
  <c r="L299" i="1" s="1"/>
  <c r="E344" i="1" l="1"/>
  <c r="E343" i="1" s="1"/>
  <c r="F344" i="1"/>
  <c r="F343" i="1" s="1"/>
  <c r="F345" i="1"/>
  <c r="E345" i="1"/>
  <c r="F352" i="1"/>
  <c r="J351" i="1"/>
  <c r="F360" i="1"/>
  <c r="J360" i="1" s="1"/>
  <c r="E361" i="1"/>
  <c r="F363" i="1"/>
  <c r="F362" i="1"/>
  <c r="F359" i="1"/>
  <c r="F361" i="1" s="1"/>
  <c r="F357" i="1"/>
  <c r="F356" i="1"/>
  <c r="F355" i="1"/>
  <c r="F354" i="1"/>
  <c r="F353" i="1"/>
  <c r="F325" i="1"/>
  <c r="F321" i="1"/>
  <c r="E322" i="1"/>
  <c r="E326" i="1"/>
  <c r="E304" i="1"/>
  <c r="J273" i="1"/>
  <c r="F280" i="1"/>
  <c r="F279" i="1"/>
  <c r="E279" i="1"/>
  <c r="E275" i="1"/>
  <c r="E274" i="1"/>
  <c r="F274" i="1"/>
  <c r="E271" i="1"/>
  <c r="E272" i="1" s="1"/>
  <c r="F271" i="1"/>
  <c r="F272" i="1" s="1"/>
  <c r="F255" i="1"/>
  <c r="F254" i="1"/>
  <c r="E242" i="1"/>
  <c r="F242" i="1"/>
  <c r="E235" i="1"/>
  <c r="F235" i="1"/>
  <c r="E236" i="1"/>
  <c r="F236" i="1"/>
  <c r="E234" i="1"/>
  <c r="F234" i="1"/>
  <c r="J232" i="1"/>
  <c r="J233" i="1"/>
  <c r="J239" i="1"/>
  <c r="L239" i="1" s="1"/>
  <c r="J241" i="1"/>
  <c r="L241" i="1" s="1"/>
  <c r="J231" i="1"/>
  <c r="J393" i="1"/>
  <c r="L393" i="1" s="1"/>
  <c r="E71" i="1"/>
  <c r="L132" i="1"/>
  <c r="E257" i="1"/>
  <c r="E261" i="1" s="1"/>
  <c r="J120" i="1"/>
  <c r="J112" i="1"/>
  <c r="J113" i="1"/>
  <c r="L113" i="1" s="1"/>
  <c r="J114" i="1"/>
  <c r="L114" i="1" s="1"/>
  <c r="E253" i="1"/>
  <c r="J102" i="1"/>
  <c r="L102" i="1" s="1"/>
  <c r="J104" i="1"/>
  <c r="L104" i="1" s="1"/>
  <c r="J105" i="1"/>
  <c r="L105" i="1" s="1"/>
  <c r="J107" i="1"/>
  <c r="L107" i="1" s="1"/>
  <c r="J108" i="1"/>
  <c r="L108" i="1" s="1"/>
  <c r="J109" i="1"/>
  <c r="L109" i="1" s="1"/>
  <c r="J101" i="1"/>
  <c r="L101" i="1" s="1"/>
  <c r="E256" i="1"/>
  <c r="E260" i="1" s="1"/>
  <c r="L89" i="1"/>
  <c r="L90" i="1"/>
  <c r="L91" i="1"/>
  <c r="L92" i="1"/>
  <c r="L94" i="1"/>
  <c r="L75" i="1"/>
  <c r="L76" i="1"/>
  <c r="L77" i="1"/>
  <c r="J65" i="1"/>
  <c r="L65" i="1" s="1"/>
  <c r="J66" i="1"/>
  <c r="L66" i="1" s="1"/>
  <c r="J67" i="1"/>
  <c r="L67" i="1" s="1"/>
  <c r="J68" i="1"/>
  <c r="L68" i="1" s="1"/>
  <c r="J69" i="1"/>
  <c r="L69" i="1" s="1"/>
  <c r="J70" i="1"/>
  <c r="L70" i="1" s="1"/>
  <c r="L112" i="1" l="1"/>
  <c r="L116" i="1" s="1"/>
  <c r="J116" i="1"/>
  <c r="E300" i="1"/>
  <c r="E301" i="1"/>
  <c r="L120" i="1"/>
  <c r="L124" i="1" s="1"/>
  <c r="J124" i="1"/>
  <c r="L86" i="1"/>
  <c r="L97" i="1" s="1"/>
  <c r="J80" i="1"/>
  <c r="F276" i="1"/>
  <c r="L110" i="1"/>
  <c r="L80" i="1"/>
  <c r="F256" i="1"/>
  <c r="F260" i="1" s="1"/>
  <c r="E255" i="1"/>
  <c r="E264" i="1" s="1"/>
  <c r="F257" i="1"/>
  <c r="F261" i="1" s="1"/>
  <c r="E269" i="1"/>
  <c r="F237" i="1"/>
  <c r="E237" i="1"/>
  <c r="L71" i="1"/>
  <c r="J289" i="1"/>
  <c r="J290" i="1"/>
  <c r="J292" i="1"/>
  <c r="J279" i="1"/>
  <c r="F262" i="1"/>
  <c r="E280" i="1"/>
  <c r="F253" i="1"/>
  <c r="F259" i="1"/>
  <c r="F258" i="1"/>
  <c r="J110" i="1"/>
  <c r="J71" i="1"/>
  <c r="E152" i="1"/>
  <c r="F152" i="1"/>
  <c r="E201" i="1"/>
  <c r="E194" i="1"/>
  <c r="E189" i="1"/>
  <c r="E184" i="1"/>
  <c r="E179" i="1"/>
  <c r="E174" i="1"/>
  <c r="E169" i="1"/>
  <c r="E161" i="1"/>
  <c r="F161" i="1"/>
  <c r="E156" i="1"/>
  <c r="F156" i="1"/>
  <c r="E147" i="1"/>
  <c r="F147" i="1"/>
  <c r="E142" i="1"/>
  <c r="F142" i="1"/>
  <c r="J141" i="1"/>
  <c r="J155" i="1"/>
  <c r="E370" i="1" l="1"/>
  <c r="E375" i="1"/>
  <c r="L133" i="1"/>
  <c r="F316" i="1"/>
  <c r="F315" i="1"/>
  <c r="F371" i="1"/>
  <c r="E316" i="1"/>
  <c r="E315" i="1"/>
  <c r="F278" i="1"/>
  <c r="J378" i="1"/>
  <c r="E276" i="1"/>
  <c r="E278" i="1" s="1"/>
  <c r="J275" i="1"/>
  <c r="J142" i="1"/>
  <c r="F264" i="1"/>
  <c r="E270" i="1"/>
  <c r="E268" i="1" s="1"/>
  <c r="E258" i="1"/>
  <c r="F269" i="1"/>
  <c r="E266" i="1"/>
  <c r="F266" i="1"/>
  <c r="J256" i="1"/>
  <c r="J255" i="1"/>
  <c r="F263" i="1"/>
  <c r="E263" i="1"/>
  <c r="F267" i="1"/>
  <c r="F270" i="1"/>
  <c r="E259" i="1"/>
  <c r="E267" i="1"/>
  <c r="J257" i="1"/>
  <c r="F372" i="1"/>
  <c r="F373" i="1"/>
  <c r="F374" i="1"/>
  <c r="E379" i="1"/>
  <c r="E372" i="1"/>
  <c r="E373" i="1"/>
  <c r="E374" i="1"/>
  <c r="F320" i="1"/>
  <c r="J320" i="1" s="1"/>
  <c r="F305" i="1"/>
  <c r="F319" i="1"/>
  <c r="J319" i="1" s="1"/>
  <c r="F310" i="1"/>
  <c r="F309" i="1" s="1"/>
  <c r="F311" i="1"/>
  <c r="F312" i="1"/>
  <c r="F313" i="1"/>
  <c r="F314" i="1"/>
  <c r="F317" i="1"/>
  <c r="F318" i="1" s="1"/>
  <c r="F324" i="1"/>
  <c r="F308" i="1"/>
  <c r="F307" i="1" s="1"/>
  <c r="F306" i="1"/>
  <c r="E325" i="1"/>
  <c r="J301" i="1"/>
  <c r="E303" i="1"/>
  <c r="F304" i="1"/>
  <c r="F322" i="1"/>
  <c r="F326" i="1"/>
  <c r="J302" i="1"/>
  <c r="E310" i="1"/>
  <c r="E311" i="1"/>
  <c r="E312" i="1"/>
  <c r="E313" i="1"/>
  <c r="E314" i="1"/>
  <c r="E317" i="1"/>
  <c r="E324" i="1"/>
  <c r="E308" i="1"/>
  <c r="E306" i="1"/>
  <c r="E305" i="1"/>
  <c r="J300" i="1"/>
  <c r="E262" i="1"/>
  <c r="J253" i="1"/>
  <c r="J254" i="1"/>
  <c r="J214" i="1"/>
  <c r="J215" i="1"/>
  <c r="J216" i="1"/>
  <c r="J217" i="1"/>
  <c r="J218" i="1"/>
  <c r="J219" i="1"/>
  <c r="J213" i="1"/>
  <c r="J200" i="1"/>
  <c r="J199" i="1"/>
  <c r="J193" i="1"/>
  <c r="J192" i="1"/>
  <c r="J188" i="1"/>
  <c r="J187" i="1"/>
  <c r="J183" i="1"/>
  <c r="J182" i="1"/>
  <c r="J178" i="1"/>
  <c r="J177" i="1"/>
  <c r="J173" i="1"/>
  <c r="J172" i="1"/>
  <c r="J168" i="1"/>
  <c r="J167" i="1"/>
  <c r="J160" i="1"/>
  <c r="J159" i="1"/>
  <c r="L159" i="1" s="1"/>
  <c r="J151" i="1"/>
  <c r="J150" i="1"/>
  <c r="J146" i="1"/>
  <c r="J145" i="1"/>
  <c r="L134" i="1" l="1"/>
  <c r="L38" i="1" s="1"/>
  <c r="J316" i="1"/>
  <c r="L316" i="1" s="1"/>
  <c r="J315" i="1"/>
  <c r="L315" i="1" s="1"/>
  <c r="F265" i="1"/>
  <c r="E265" i="1"/>
  <c r="F268" i="1"/>
  <c r="J375" i="1"/>
  <c r="L375" i="1" s="1"/>
  <c r="J373" i="1"/>
  <c r="L373" i="1" s="1"/>
  <c r="J374" i="1"/>
  <c r="L374" i="1" s="1"/>
  <c r="J372" i="1"/>
  <c r="L372" i="1" s="1"/>
  <c r="J370" i="1"/>
  <c r="L370" i="1" s="1"/>
  <c r="E371" i="1"/>
  <c r="J305" i="1"/>
  <c r="E307" i="1"/>
  <c r="E318" i="1"/>
  <c r="F323" i="1"/>
  <c r="E323" i="1"/>
  <c r="E309" i="1"/>
  <c r="J306" i="1"/>
  <c r="J337" i="1" l="1"/>
  <c r="L302" i="1"/>
  <c r="J326" i="1"/>
  <c r="J371" i="1" l="1"/>
  <c r="L371" i="1" s="1"/>
  <c r="J382" i="1"/>
  <c r="L382" i="1" s="1"/>
  <c r="J381" i="1"/>
  <c r="L381" i="1" s="1"/>
  <c r="J363" i="1"/>
  <c r="L363" i="1" s="1"/>
  <c r="J346" i="1"/>
  <c r="L346" i="1" s="1"/>
  <c r="J325" i="1"/>
  <c r="L325" i="1" s="1"/>
  <c r="L326" i="1"/>
  <c r="L167" i="1" l="1"/>
  <c r="L305" i="1" l="1"/>
  <c r="L289" i="1"/>
  <c r="L219" i="1"/>
  <c r="L218" i="1"/>
  <c r="L217" i="1"/>
  <c r="L216" i="1"/>
  <c r="L215" i="1"/>
  <c r="L214" i="1"/>
  <c r="L213" i="1"/>
  <c r="L200" i="1"/>
  <c r="L199" i="1"/>
  <c r="L193" i="1"/>
  <c r="L188" i="1"/>
  <c r="L178" i="1"/>
  <c r="L173" i="1"/>
  <c r="J359" i="1"/>
  <c r="L360" i="1"/>
  <c r="L351" i="1"/>
  <c r="J308" i="1"/>
  <c r="L331" i="1"/>
  <c r="L301" i="1"/>
  <c r="L319" i="1"/>
  <c r="L320" i="1"/>
  <c r="L254" i="1"/>
  <c r="L255" i="1"/>
  <c r="L256" i="1"/>
  <c r="L257" i="1"/>
  <c r="J271" i="1"/>
  <c r="L273" i="1"/>
  <c r="J274" i="1"/>
  <c r="L232" i="1"/>
  <c r="L233" i="1"/>
  <c r="J234" i="1"/>
  <c r="L204" i="1"/>
  <c r="L205" i="1" s="1"/>
  <c r="L182" i="1"/>
  <c r="L183" i="1"/>
  <c r="L160" i="1"/>
  <c r="L155" i="1"/>
  <c r="L150" i="1"/>
  <c r="L151" i="1"/>
  <c r="L145" i="1"/>
  <c r="L146" i="1"/>
  <c r="L140" i="1"/>
  <c r="L141" i="1"/>
  <c r="L220" i="1" l="1"/>
  <c r="L221" i="1" s="1"/>
  <c r="L226" i="1" s="1"/>
  <c r="L42" i="1" s="1"/>
  <c r="J352" i="1"/>
  <c r="L352" i="1" s="1"/>
  <c r="J354" i="1"/>
  <c r="L354" i="1" s="1"/>
  <c r="J357" i="1"/>
  <c r="L357" i="1" s="1"/>
  <c r="J358" i="1"/>
  <c r="L358" i="1" s="1"/>
  <c r="J362" i="1"/>
  <c r="L362" i="1" s="1"/>
  <c r="L359" i="1"/>
  <c r="J353" i="1"/>
  <c r="L353" i="1" s="1"/>
  <c r="J355" i="1"/>
  <c r="L355" i="1" s="1"/>
  <c r="J356" i="1"/>
  <c r="L356" i="1" s="1"/>
  <c r="J237" i="1"/>
  <c r="L237" i="1" s="1"/>
  <c r="J342" i="1"/>
  <c r="L342" i="1" s="1"/>
  <c r="J341" i="1"/>
  <c r="L341" i="1" s="1"/>
  <c r="J339" i="1"/>
  <c r="L339" i="1" s="1"/>
  <c r="J334" i="1"/>
  <c r="L334" i="1" s="1"/>
  <c r="J332" i="1"/>
  <c r="L332" i="1" s="1"/>
  <c r="J336" i="1"/>
  <c r="L336" i="1" s="1"/>
  <c r="J340" i="1"/>
  <c r="L340" i="1" s="1"/>
  <c r="J335" i="1"/>
  <c r="L335" i="1" s="1"/>
  <c r="J333" i="1"/>
  <c r="L333" i="1" s="1"/>
  <c r="J312" i="1"/>
  <c r="L312" i="1" s="1"/>
  <c r="J303" i="1"/>
  <c r="L303" i="1" s="1"/>
  <c r="J321" i="1"/>
  <c r="L321" i="1" s="1"/>
  <c r="J304" i="1"/>
  <c r="L304" i="1" s="1"/>
  <c r="J322" i="1"/>
  <c r="L322" i="1" s="1"/>
  <c r="J264" i="1"/>
  <c r="L264" i="1" s="1"/>
  <c r="J269" i="1"/>
  <c r="L269" i="1" s="1"/>
  <c r="J259" i="1"/>
  <c r="L259" i="1" s="1"/>
  <c r="J260" i="1"/>
  <c r="L260" i="1" s="1"/>
  <c r="J263" i="1"/>
  <c r="L263" i="1" s="1"/>
  <c r="J261" i="1"/>
  <c r="L261" i="1" s="1"/>
  <c r="J266" i="1"/>
  <c r="L266" i="1" s="1"/>
  <c r="J270" i="1"/>
  <c r="L270" i="1" s="1"/>
  <c r="J277" i="1"/>
  <c r="L277" i="1" s="1"/>
  <c r="J258" i="1"/>
  <c r="L258" i="1" s="1"/>
  <c r="J267" i="1"/>
  <c r="L267" i="1" s="1"/>
  <c r="L271" i="1"/>
  <c r="J235" i="1"/>
  <c r="L235" i="1" s="1"/>
  <c r="J236" i="1"/>
  <c r="L236" i="1" s="1"/>
  <c r="J242" i="1"/>
  <c r="L242" i="1" s="1"/>
  <c r="L142" i="1"/>
  <c r="L143" i="1" s="1"/>
  <c r="J147" i="1"/>
  <c r="L147" i="1" s="1"/>
  <c r="L148" i="1" s="1"/>
  <c r="J161" i="1"/>
  <c r="L161" i="1" s="1"/>
  <c r="L162" i="1" s="1"/>
  <c r="J201" i="1"/>
  <c r="L201" i="1" s="1"/>
  <c r="L202" i="1" s="1"/>
  <c r="J152" i="1"/>
  <c r="L152" i="1" s="1"/>
  <c r="L153" i="1" s="1"/>
  <c r="J194" i="1"/>
  <c r="L194" i="1" s="1"/>
  <c r="J156" i="1"/>
  <c r="L156" i="1" s="1"/>
  <c r="L157" i="1" s="1"/>
  <c r="J189" i="1"/>
  <c r="L189" i="1" s="1"/>
  <c r="J184" i="1"/>
  <c r="L184" i="1" s="1"/>
  <c r="L185" i="1" s="1"/>
  <c r="J179" i="1"/>
  <c r="L179" i="1" s="1"/>
  <c r="J174" i="1"/>
  <c r="L174" i="1" s="1"/>
  <c r="J169" i="1"/>
  <c r="L169" i="1" s="1"/>
  <c r="L279" i="1"/>
  <c r="L274" i="1"/>
  <c r="L337" i="1"/>
  <c r="L234" i="1"/>
  <c r="L192" i="1"/>
  <c r="L172" i="1"/>
  <c r="L168" i="1"/>
  <c r="L187" i="1"/>
  <c r="L177" i="1"/>
  <c r="L253" i="1"/>
  <c r="J278" i="1"/>
  <c r="L394" i="1"/>
  <c r="L231" i="1"/>
  <c r="L308" i="1"/>
  <c r="J323" i="1"/>
  <c r="J317" i="1"/>
  <c r="J310" i="1"/>
  <c r="L410" i="1" l="1"/>
  <c r="L48" i="1" s="1"/>
  <c r="L378" i="1"/>
  <c r="J380" i="1"/>
  <c r="L380" i="1" s="1"/>
  <c r="J361" i="1"/>
  <c r="L361" i="1" s="1"/>
  <c r="L364" i="1" s="1"/>
  <c r="J345" i="1"/>
  <c r="L345" i="1" s="1"/>
  <c r="J338" i="1"/>
  <c r="L338" i="1" s="1"/>
  <c r="J344" i="1"/>
  <c r="L344" i="1" s="1"/>
  <c r="J324" i="1"/>
  <c r="L324" i="1" s="1"/>
  <c r="J311" i="1"/>
  <c r="L311" i="1" s="1"/>
  <c r="J307" i="1"/>
  <c r="L307" i="1" s="1"/>
  <c r="J314" i="1"/>
  <c r="L314" i="1" s="1"/>
  <c r="J313" i="1"/>
  <c r="L313" i="1" s="1"/>
  <c r="J262" i="1"/>
  <c r="L262" i="1" s="1"/>
  <c r="J280" i="1"/>
  <c r="L280" i="1" s="1"/>
  <c r="J268" i="1"/>
  <c r="L268" i="1" s="1"/>
  <c r="J265" i="1"/>
  <c r="L265" i="1" s="1"/>
  <c r="L275" i="1"/>
  <c r="L278" i="1"/>
  <c r="J272" i="1"/>
  <c r="L243" i="1"/>
  <c r="L195" i="1"/>
  <c r="L190" i="1"/>
  <c r="L180" i="1"/>
  <c r="L175" i="1"/>
  <c r="L170" i="1"/>
  <c r="L323" i="1"/>
  <c r="L300" i="1"/>
  <c r="L306" i="1"/>
  <c r="L376" i="1"/>
  <c r="L292" i="1"/>
  <c r="L290" i="1"/>
  <c r="L317" i="1"/>
  <c r="L310" i="1"/>
  <c r="L295" i="1" l="1"/>
  <c r="L207" i="1"/>
  <c r="J379" i="1"/>
  <c r="L379" i="1" s="1"/>
  <c r="L383" i="1" s="1"/>
  <c r="L388" i="1" s="1"/>
  <c r="J343" i="1"/>
  <c r="L343" i="1" s="1"/>
  <c r="J309" i="1"/>
  <c r="L309" i="1" s="1"/>
  <c r="J318" i="1"/>
  <c r="L318" i="1" s="1"/>
  <c r="J276" i="1"/>
  <c r="L276" i="1" s="1"/>
  <c r="L272" i="1"/>
  <c r="L40" i="1" l="1"/>
  <c r="L327" i="1"/>
  <c r="L281" i="1"/>
  <c r="L347" i="1"/>
  <c r="L365" i="1" l="1"/>
  <c r="L44" i="1" s="1"/>
  <c r="L52" i="1" s="1"/>
  <c r="L54" i="1" l="1"/>
  <c r="L56" i="1"/>
  <c r="L29" i="1" s="1"/>
</calcChain>
</file>

<file path=xl/sharedStrings.xml><?xml version="1.0" encoding="utf-8"?>
<sst xmlns="http://schemas.openxmlformats.org/spreadsheetml/2006/main" count="991" uniqueCount="431">
  <si>
    <t>Náklady za rostlinný materiál</t>
  </si>
  <si>
    <t>latinský název</t>
  </si>
  <si>
    <t>český název</t>
  </si>
  <si>
    <t>výsadbová velikost</t>
  </si>
  <si>
    <t>cena za kus</t>
  </si>
  <si>
    <t>Celkem za rostlinný materiál bez DPH</t>
  </si>
  <si>
    <t>levandule lékařská</t>
  </si>
  <si>
    <t xml:space="preserve">název </t>
  </si>
  <si>
    <t>celkem</t>
  </si>
  <si>
    <t>ks</t>
  </si>
  <si>
    <t>Odstranění pařezu o průměru do 200 mm do hloubky min. 30 cm   průměru kmene, vč. likvidace vytěženého odpadu</t>
  </si>
  <si>
    <t>Odstranění pařezu o průměru 200 - 300 mm do hloubky min. 30 cm, vč. likvidace vytěženého odpadu</t>
  </si>
  <si>
    <t>Odstranění pařezu o průměru 300 - 400 mm do hloubky min. 30 cm , vč. likvidace vytěženého odpadu</t>
  </si>
  <si>
    <t>Odstranění pařezu o průměru 500 - 600 mm do hloubky min. 30 cm , vč. likvidace vytěženého odpadu</t>
  </si>
  <si>
    <t>m2</t>
  </si>
  <si>
    <t>m3</t>
  </si>
  <si>
    <t xml:space="preserve">Příprava záhonů </t>
  </si>
  <si>
    <t xml:space="preserve">Příprava záhonů – celkem </t>
  </si>
  <si>
    <t>kg</t>
  </si>
  <si>
    <t>Výsadba alejového stromu s balem</t>
  </si>
  <si>
    <t xml:space="preserve">Založení trávníku zahradnickým způsobem včetně ceny osiva a první seče </t>
  </si>
  <si>
    <t xml:space="preserve">Založení trávníku zahradnickým způsobem včetně ceny osiva – celkem </t>
  </si>
  <si>
    <t>Hnojení půdy nebo trávníku v rovině nebo ve svahu 1:5 umělým hnojivem na široko</t>
  </si>
  <si>
    <t>t</t>
  </si>
  <si>
    <t>Položení mulčovací textílie proti prorůstnání plevelů kolem vysázených rostlin v rovině nebo na svahu 1:5</t>
  </si>
  <si>
    <t>Mulčování vysazených rostlin mulčovací kůrou, tloušťky do 100 mm na rovině nebo svahu do 1:5</t>
  </si>
  <si>
    <t>Zhotovení obalu kmene z rákosové nebo kokosové rohože v jedné vrstvě v rovině nebo na svahu do 1:5</t>
  </si>
  <si>
    <t>R</t>
  </si>
  <si>
    <t>specifikace</t>
  </si>
  <si>
    <t>184 91-1421</t>
  </si>
  <si>
    <t>184 50-1141</t>
  </si>
  <si>
    <t>185 80-2113</t>
  </si>
  <si>
    <t>Chemické odplevelení půdy před založením kultury, trávníku nebo zpevněných ploch o výměře přes 20 m2 v rovině nebo na svahu 1:5 postřikem na široko</t>
  </si>
  <si>
    <t>183 40-3153</t>
  </si>
  <si>
    <t>Odstranění nevhodných dřevin průměru kmene do 100 mm</t>
  </si>
  <si>
    <t xml:space="preserve">Odstranění nevhodných dřevin průměru kmene do 100 mm – celkem </t>
  </si>
  <si>
    <t>184 91-1311</t>
  </si>
  <si>
    <t>112 15-1311</t>
  </si>
  <si>
    <t>Pokácení stromu postupné (v rovině nebo svahu do 1:5)  do 200 mm průměru kmene, vč. odvozu dřevní hmoty</t>
  </si>
  <si>
    <t>112 20-1111</t>
  </si>
  <si>
    <t>112 15-1312</t>
  </si>
  <si>
    <t>Pokácení stromu postupné (v rovině nebo svahu do 1:5)  200 - 300 mm, vč. odvozu dřevní hmoty</t>
  </si>
  <si>
    <t>112 20-1112</t>
  </si>
  <si>
    <t>112 15-1313</t>
  </si>
  <si>
    <t>Pokácení stromu postupné (v rovině nebo svahu do 1:5)  300 - 400 mm, vč. odvozu dřevní hmoty</t>
  </si>
  <si>
    <t>112 20-1113</t>
  </si>
  <si>
    <t>112 15-1315</t>
  </si>
  <si>
    <t>Pokácení stromu postupné (v rovině nebo svahu do 1:5)  500 - 600 mm, vč. odvozu dřevní hmoty</t>
  </si>
  <si>
    <t>112 20-1115</t>
  </si>
  <si>
    <t>185 80-2114</t>
  </si>
  <si>
    <t>l</t>
  </si>
  <si>
    <t>183 10-1213</t>
  </si>
  <si>
    <t>Hloubení jamek pro vysazování rostlin v zemině 1 až 4 s výměnou půdy na 50 % v rovině nebo na svahu do 1:5, objemu přes 0,02 m3 do 0,05 m3</t>
  </si>
  <si>
    <t>184 21-5132</t>
  </si>
  <si>
    <t>Ukotvení dřeviny třemi kůly, délky přes 1 do 2 m průměru do 100 mm</t>
  </si>
  <si>
    <t>184 80-2111</t>
  </si>
  <si>
    <t>Dodání kůlů délky 2500 mm, průměru 60 mm (3 ks k jedné dřevině), vč. ceny dopravy materiálu</t>
  </si>
  <si>
    <t>Dodání příčníků délky 500 mm, průměru 60 mm (3 ks k jedné dřevině), vč. ceny dopravy materiálu</t>
  </si>
  <si>
    <t>Dodání úvazku (3 ks k jedné dřevině) , vč. ceny dopravy materiálu</t>
  </si>
  <si>
    <t>Dodávka kokosové rohože na zhotovení obalu kmene, vč. ceny dopravy materiálu</t>
  </si>
  <si>
    <t>Pokácení stromu postupné (v rovině nebo svahu do 1:5)  400 - 500 mm, vč. odvozu dřevní hmoty</t>
  </si>
  <si>
    <t>112 15-1314</t>
  </si>
  <si>
    <t>112 20-1114</t>
  </si>
  <si>
    <t xml:space="preserve">Výsadba kontejnerového keře </t>
  </si>
  <si>
    <t>184 21-5412</t>
  </si>
  <si>
    <t>Zhotovení závlahové mísy u soliterních dřevin v rovině nebo na svahu do 1:5, o průměru mísy přes 0,5 do 1 m</t>
  </si>
  <si>
    <t xml:space="preserve">Výsadba dřeviny s balem do předem vyhloubené jamky se zalitím v rovině nebo na svahu do 1:5, při průměru balu přes 200 do 300 mm </t>
  </si>
  <si>
    <t>184 10-2112</t>
  </si>
  <si>
    <t>111 15-1121</t>
  </si>
  <si>
    <t>111 11-1411</t>
  </si>
  <si>
    <t xml:space="preserve">Obdělávání půdy hrabáním v rovině  nebo na svahu do 1:5 </t>
  </si>
  <si>
    <t>112 15-1317</t>
  </si>
  <si>
    <t>112 20-1117</t>
  </si>
  <si>
    <t>Odstranění pařezu o průměru  700 - 800 mm do hloubky min. 30 cm, vč. likvidace vytěženého odpadu</t>
  </si>
  <si>
    <t>Pokácení stromu (v rovině nebo svahu do 1:5)  600 - 700 mm, vč. odvozu dřevní hmoty</t>
  </si>
  <si>
    <t>Odstranění pařezu o průměru 600 - 700 mm do hloubky min. 30 cm , vč. likvidace vytěženého odpadu</t>
  </si>
  <si>
    <t>Pokácení stromu (v rovině nebo svahu do 1:5)  700 - 800 mm, vč. odvozu dřevní hmoty</t>
  </si>
  <si>
    <t>112 15-1316</t>
  </si>
  <si>
    <t>112 20-1116</t>
  </si>
  <si>
    <t>Hloubení jamek pro vysazování rostlin v zemině 1 až 4 s výměnou půdy na 50 % v rovině nebo na svahu do 1:5, objemu přes 0,01 do 0,02 m3</t>
  </si>
  <si>
    <t>184 10-2111</t>
  </si>
  <si>
    <t>Výsadba dřeviny s balem do předem vyhloubené jamky se zalitím v rovině nebo na svahu do 1:5, při průměru balu přes  100 mm do 200 mm</t>
  </si>
  <si>
    <t>Hloubení jamek pro vysazování rostlin v zemině 1 až 4 s výměnou půdy na 50 % na svahu  přes 1:2 do 1:1, objemu přes 0,01 m3 do 0,02 m3</t>
  </si>
  <si>
    <t>184 10-2131</t>
  </si>
  <si>
    <t xml:space="preserve">Výsadba dřeviny s balem do předem vyhloubené jamky se zalitím na svahu přes 1:2 do 1:1, při průměru balu přes 100 do 200 mm </t>
  </si>
  <si>
    <t>184 91-1313</t>
  </si>
  <si>
    <t>Položení mulčovací textílie proti prorůstnání plevelů kolem vysázených rostlin na svahu přes 1:2 do 1:1</t>
  </si>
  <si>
    <t>182 11-1111</t>
  </si>
  <si>
    <t>Zpevnění svahu jutovou, kokosovou nebo plastovou rohoží na svahu přes 1:2 do 1:1</t>
  </si>
  <si>
    <t>Chemické odplevelení půdy před založením kultury, trávníku nebo zpevněných ploch o výměře přes 20 m2 na svahu přes 1:2 do 1:1 postřikem na široko</t>
  </si>
  <si>
    <t>181 11-4711</t>
  </si>
  <si>
    <t>183 40-3114</t>
  </si>
  <si>
    <t>Obdělání půdy kultivátorováním, v rovině nebo na svahu do 1:5</t>
  </si>
  <si>
    <t xml:space="preserve">Dovoz materiálu do 20 km na místo </t>
  </si>
  <si>
    <t>181 30-1101</t>
  </si>
  <si>
    <t>Rozprostření a urovnání ornice v rovině nebo  ve svahu sklonu do 1:5, do 500 m2, tl. vrstvy do 100 mm</t>
  </si>
  <si>
    <t>Pokosení trávníku při souvislé ploše do 1 000 m2 parkového v rovině nebo svahu do 1:5, 3x</t>
  </si>
  <si>
    <t>111 11-1414</t>
  </si>
  <si>
    <t>Odstranění stařiny ze souvislé plochy do 100 m2 ve svahu přes 1:1</t>
  </si>
  <si>
    <t>Odstranění stařiny ze souvislé plochy do 100 m2 v rovině nebo ve svahu do 1:5</t>
  </si>
  <si>
    <t>Dodávka totální herbicid např. Roundup 0,0008 l, vč. ceny dopravy materiálu</t>
  </si>
  <si>
    <t>Dodávka mulčovací kůry tl. vrstvy 0,1 m, vč. ceny dopravy materiálu</t>
  </si>
  <si>
    <t xml:space="preserve">Dodání travního osiva (Parková směs) při výsevku 250 kg/ha </t>
  </si>
  <si>
    <t>Trávníkové hnojivo 30 g/m2, vč. ceny dopravy materiálu</t>
  </si>
  <si>
    <t>Pěstební substrát 0,01 m3 / 1 ks, včetně ceny dopravy materiálu</t>
  </si>
  <si>
    <t>Pěstební substrát  0,025 m3 / 1 ks, včetně ceny dopravy materiálu</t>
  </si>
  <si>
    <t>Hloubení jamek pro vysazování rostlin v zemině 1 až 4 s výměnou půdy na 50 % na svahu  přes 1:2 do 1:1, objemu přes 0,02 m3 do 0,05 m3</t>
  </si>
  <si>
    <t xml:space="preserve">Výsadba dřeviny s balem do předem vyhloubené jamky se zalitím na svahu přes 1:2 do 1:1, při průměru balu přes 200 do 300 mm </t>
  </si>
  <si>
    <t>183 10-5213</t>
  </si>
  <si>
    <t>184 10-2132</t>
  </si>
  <si>
    <t>Dodávka kokosové rohože 540 g/m2, + 5 % překrytí, včetně trnů na záhony ve svazích přes 1:2 do 1:1, vč. ceny dopravy materiálu</t>
  </si>
  <si>
    <t>Dodávka plastové chráničky proti okusu výšky 120 cm</t>
  </si>
  <si>
    <t>Ochrana dřevin před okusem zvěří mechanicky v rovině nebo ve svahu do 1:5, pletivem, výšky do 2 m</t>
  </si>
  <si>
    <t>184 81-3121</t>
  </si>
  <si>
    <t>počet kusů</t>
  </si>
  <si>
    <t>cena celkem bez DPH</t>
  </si>
  <si>
    <t>112 15-1111</t>
  </si>
  <si>
    <t>Pokácení stromu směrové v celku (v rovině nebo svahu do 1:5)  do 200 mm průměru kmene, vč. odvozu dřevní hmoty</t>
  </si>
  <si>
    <t>Kácení stromů směrové v celku s odřezáním kmene a s odvětvením</t>
  </si>
  <si>
    <t>Pokácení stromu směrové v celku (v rovině nebo svahu do 1:5)  200 - 300 mm, vč. odvozu dřevní hmoty</t>
  </si>
  <si>
    <t>Pokácení stromu směrové v celku (v rovině nebo svahu do 1:5)  300 - 400 mm, vč. odvozu dřevní hmoty</t>
  </si>
  <si>
    <t>Pokácení stromu směrové v celku (v rovině nebo svahu do 1:5)  600 - 700 mm, vč. odvozu dřevní hmoty</t>
  </si>
  <si>
    <t>Kácení stromů postupné bez spouštění částí kmene a koruny</t>
  </si>
  <si>
    <t>112 15-1112</t>
  </si>
  <si>
    <t>112 15-1113</t>
  </si>
  <si>
    <t>112 15-1116</t>
  </si>
  <si>
    <t>Výškový prořez stromů   prováděný lezeckou technikou</t>
  </si>
  <si>
    <t>do 30 m2</t>
  </si>
  <si>
    <t>přes 30 do 60 m2</t>
  </si>
  <si>
    <t>přes 60 do 90 m2</t>
  </si>
  <si>
    <t>přes 90 do 120 m2</t>
  </si>
  <si>
    <t>přes 150 do 180 m2</t>
  </si>
  <si>
    <t xml:space="preserve">Řez zdravotní, plocha koruny stromu </t>
  </si>
  <si>
    <t xml:space="preserve">Řez zdravotní  – celkem </t>
  </si>
  <si>
    <t>184 85-2211</t>
  </si>
  <si>
    <t>184 85-2212</t>
  </si>
  <si>
    <t>184 85-2213</t>
  </si>
  <si>
    <t>184 85-2214</t>
  </si>
  <si>
    <t>184 85-2216</t>
  </si>
  <si>
    <t>183 11-1214</t>
  </si>
  <si>
    <t>184 80-2311</t>
  </si>
  <si>
    <t>185 80-4514</t>
  </si>
  <si>
    <t>Založení trávníku na půdě předem připravené plochy do 1000 m2 výsevem včetně utažení parkového v rovině nebo na svahu do 1:5</t>
  </si>
  <si>
    <t>181 41-1131</t>
  </si>
  <si>
    <t>m</t>
  </si>
  <si>
    <t>Zhotovení závlahové mísy u soliterních dřevin v rovině nebo na svahu do 1:5 o průměru mísy přes 0,5 do 1,0 m (1x / rok)</t>
  </si>
  <si>
    <t>185 80-4312</t>
  </si>
  <si>
    <t>Mulčování vysazených rostlin mulčovací kůrou, tloušťky do 100 mm na rovině nebo svahu do 1:5 (1x / rok)</t>
  </si>
  <si>
    <t>* Hnojení půdy nebo trávníku v rovině nebo ve svahu 1:5 umělým hnojivem s rozdělením k jednotlivým rostlinám</t>
  </si>
  <si>
    <t>** Hnojení půdy nebo trávníku v rovině nebo ve svahu 1:5 umělým hnojivem s rozdělením k jednotlivým rostlinám</t>
  </si>
  <si>
    <t>Znovuuvázání dřeviny jedním úvazkem ke stávajícímu kůlu, vč. ceny úvazku (počítáno pro 50% dřevin)</t>
  </si>
  <si>
    <t>Hnojení tabletovým hnojivem s obsahem ureaformu hořčíku a stopových prvků  vč. Dodávky (1 ks tablet / nižší keř nebo půdopokryvná rostlina), vč. ceny dopravy materiálu</t>
  </si>
  <si>
    <t>Hnojení tabletovým hnojivem s obsahem ureaformu hořčíku a stopových prvků  vč. Dodávky (3 ks tablet / vyšší keř), vč. ceny dopravy materiálu</t>
  </si>
  <si>
    <t>Hnojení tabletovým hnojivem s obsahem ureaformu hořčíku a stopových prvků  vč. Dodávky (5 ks tablet / strom), vč. ceny dopravy materiálu</t>
  </si>
  <si>
    <t>Absorbční prostředek - práškový koncentrát  v dávce 10 g ke každému nižšímu keři nebo  půdopokryvné rostlině, vč. ceny dopravy materiálu</t>
  </si>
  <si>
    <t>Absorbční prostředek - práškový koncentrát  v dávce 20 g ke každému vyššímu keři, vč. ceny dopravy materiálu</t>
  </si>
  <si>
    <t>Absorbční prostředek - práškový koncentrát  v dávce 100 g ke každému stromu</t>
  </si>
  <si>
    <t>* Hnojení půdy pro rozpustné hnojivo s obsahem ureaformu hořčíku a stopových prvků</t>
  </si>
  <si>
    <t>** Hnojení půdy pro absorpční prostředek</t>
  </si>
  <si>
    <t>Dodávka totální herbicid v dávce  0,0008 l/m2 , vč. ceny dopravy materiálu</t>
  </si>
  <si>
    <t>Následná péče o výsadby v 1. roce</t>
  </si>
  <si>
    <t xml:space="preserve">Následná péče o výsadby v 1. roce - stromy </t>
  </si>
  <si>
    <t>Následná péče o výsadby v 1. roce - stromy - celkem</t>
  </si>
  <si>
    <t xml:space="preserve">Následná péče o výsadby v 1. roce - keřové výsadby </t>
  </si>
  <si>
    <t>Následná péče o výsadby v 1. roce - keřové výsadby - celkem</t>
  </si>
  <si>
    <t>Následná péče o výsadby v 1. roce - celkem</t>
  </si>
  <si>
    <t>Dodávka mulčovací kůry vrstva mulče 0,10 m, vč. ceny dopravy materiálu (1x / rok)</t>
  </si>
  <si>
    <t>Dodávka mulčovací kůry (vrstva mulče 0,10 m), vč. ceny dopravy materiálu</t>
  </si>
  <si>
    <t>pozn.: u každé dřeviny bude individuálně posouzen rozsah navrhovaného zásahu</t>
  </si>
  <si>
    <t>185 80-3111</t>
  </si>
  <si>
    <t xml:space="preserve">Ošetření trávníku jednorázově v rovině nebo na svahu do 1:5 (odplevelovací seč na vysoko s odstraněním posečené hmoty) </t>
  </si>
  <si>
    <t xml:space="preserve">Založení květnaté louky zahradnickým způsobem včetně ceny osiva – celkem </t>
  </si>
  <si>
    <t xml:space="preserve">Založení květnaté louky zahradnickým způsobem včetně ceny osiva a první seče </t>
  </si>
  <si>
    <t>Vytyčení rozmístění rostlin na záhony</t>
  </si>
  <si>
    <t>Vytyčení výsadeb stromů</t>
  </si>
  <si>
    <t>184 21-5432</t>
  </si>
  <si>
    <t>Zhotovení závlahové mísy u soliterních dřevin v rovině nebo na svahu přes 1:2 do 1:1, o průměru mísy přes 0,5 do 1 m</t>
  </si>
  <si>
    <t>Odstranění kamene z pozemku sebráním kamene, hmotnosti jednotlivě do 15 kg</t>
  </si>
  <si>
    <t>Založení trávníku na půdě předem připravené plochy do 1000 m2 výsevem včetně utažení lučního v rovině nebo na svahu do 1:5</t>
  </si>
  <si>
    <t>181 41 - 1121</t>
  </si>
  <si>
    <t>184 80-2631</t>
  </si>
  <si>
    <t>Vytyčení záhonů v prostoru</t>
  </si>
  <si>
    <t>Pokosení trávníku při souvislé ploše do 1 000 m2 lučního v rovině nebo svahu do 1:5</t>
  </si>
  <si>
    <t>111 15-1131</t>
  </si>
  <si>
    <t>Odstranění pařezu o průměru do 200 mm do hloubky min. 30 cm   průměru kmene, vč. likvidace vytěženého odpadu a doplnění zeminy</t>
  </si>
  <si>
    <t>Odstranění pařezu o průměru 200 - 300 mm do hloubky min. 30 cm, vč. likvidace vytěženého odpadu a doplnění zeminy</t>
  </si>
  <si>
    <t>Odstranění pařezu o průměru 300 - 400 mm do hloubky min. 30 cm , vč. likvidace vytěženého odpadu a doplnění zeminy</t>
  </si>
  <si>
    <t>Odstranění pařezu o průměru 400 - 500 mm do hloubky min. 30 cm , vč. likvidace vytěženého odpadu a doplnění zeminy</t>
  </si>
  <si>
    <t>Odstranění pařezu o průměru 600 - 700 mm do hloubky min. 30 cm , vč. likvidace vytěženého odpadu a doplnění zeminy</t>
  </si>
  <si>
    <t>Dodávka tříděné zeminy bonity I. včetně dopravy</t>
  </si>
  <si>
    <t>přes 120 do 150 m2</t>
  </si>
  <si>
    <t>přes 180 do 210 m2</t>
  </si>
  <si>
    <t>184 85-2215</t>
  </si>
  <si>
    <t>184 85-2217</t>
  </si>
  <si>
    <t>m.j.</t>
  </si>
  <si>
    <t>Odvoz dřevní hmoty na místo určené obcí ke skladování</t>
  </si>
  <si>
    <t>Kácení stromu, průměr kmene 100 - 200 mm</t>
  </si>
  <si>
    <t>Kácení stromu, průměr kmene 200 – 300 mm</t>
  </si>
  <si>
    <t>Kácení stromu, průměr kmene 300 – 400 mm</t>
  </si>
  <si>
    <t>Kácení stromu, průměr kmene 400 – 500 mm</t>
  </si>
  <si>
    <t>Kácení stromu, průměr kmene 500 – 600 mm</t>
  </si>
  <si>
    <t>Kácení stromu, průměr kmene 600 - 700 mm</t>
  </si>
  <si>
    <t>Kácení stromu, průměr kmene 700 - 800 mm</t>
  </si>
  <si>
    <t>184 91-1111</t>
  </si>
  <si>
    <t>185 80-4513</t>
  </si>
  <si>
    <t>Kácení stromu, průměr kmene 100 - 200 mm – celkem</t>
  </si>
  <si>
    <t>Kácení stromu, průměr kmene 200 – 300 mm – celkem</t>
  </si>
  <si>
    <t>Kácení stromu, průměr kmene 300 – 400 mm – celkem</t>
  </si>
  <si>
    <t>Kácení stromu, průměr kmene 400 – 500 mm – celkem</t>
  </si>
  <si>
    <t>Kácení stromu, průměr kmene 600 - 700 mm – celkem</t>
  </si>
  <si>
    <t>Kácení stromu, průměr kmene 700 - 800 mm – celkem</t>
  </si>
  <si>
    <t>Kácení stromu, průměr kmene 500 – 600 mm – celkem</t>
  </si>
  <si>
    <t>Výsadba květin</t>
  </si>
  <si>
    <t>183 21-1312</t>
  </si>
  <si>
    <t>Výsadba květin do připravené půdy se zalitím, trvalek</t>
  </si>
  <si>
    <t>Výsadba květin - celkem</t>
  </si>
  <si>
    <t>Dodávka mulčovací kůry tl. vrstvy 0,1 m, vč. dopravy</t>
  </si>
  <si>
    <t>185 85-1121</t>
  </si>
  <si>
    <t>Dovoz vody pro zálivku rostlin na vzdálenost do 1000 m</t>
  </si>
  <si>
    <t>183 11-5214</t>
  </si>
  <si>
    <t>Trvalky a traviny</t>
  </si>
  <si>
    <t>Trvalky a traviny - celkem</t>
  </si>
  <si>
    <t>Ošetření vysazených dřevin solitérních v rovině nebo na svahu do 1:5</t>
  </si>
  <si>
    <t>184 80-1121</t>
  </si>
  <si>
    <t>Ošetření vysazených dřevin solitérních v rovině nebo na svahu přes 1:2 do 1:1</t>
  </si>
  <si>
    <t>184 80-1123</t>
  </si>
  <si>
    <t>Ošetření vysazených dřevin ve skupinách v rovině nebo na svahu do 1:5</t>
  </si>
  <si>
    <t>184 80-1131</t>
  </si>
  <si>
    <t>184 80-1133</t>
  </si>
  <si>
    <t>Ošetření vysazených dřevin ve skupinách na svahu přes 1:2 do 1:1</t>
  </si>
  <si>
    <t>183 10-1221</t>
  </si>
  <si>
    <t>Hloubení jamek pro vysazování rostlin v zemině 1 až 4 s výměnou půdy na 50 % v rovině nebo na svahu do 1:5, objemu přes 0,40 m3 do 1,00 m3</t>
  </si>
  <si>
    <t>Hloubení jamek pro vysazování rostlin v zemině 1 až 4 s výměnou půdy na 50 % na svahu přes 1:2 do 1:1, objemu přes 0,40 m3 do 1,0 m3</t>
  </si>
  <si>
    <t>183 10-5221</t>
  </si>
  <si>
    <t>Výsadba dřeviny s balem do předem vyhloubené jamky se zalitím v rovině nebo ve svahu 1:5 při průměru balu přes 400 do 500 mm</t>
  </si>
  <si>
    <t>184 10-2114</t>
  </si>
  <si>
    <t>Výsadba dřeviny s balem do předem vyhloubené jamky se zalitím na svahu přes 1:2 do 1:1, při průměru balu přes 400 do 500 mm</t>
  </si>
  <si>
    <t>184 10-2134</t>
  </si>
  <si>
    <t>Pěstební substrát 0,5 m3 / 1 ks, včetně ceny dopravy materiálu</t>
  </si>
  <si>
    <t>Povýsadbový řez vysazených stromů vč. Likvidace odpadu</t>
  </si>
  <si>
    <t>Doprava rostlinného materiálu</t>
  </si>
  <si>
    <t>kpl</t>
  </si>
  <si>
    <t>Náklady na dopravu pro 1. rok následné péče</t>
  </si>
  <si>
    <t>Výsadba kontejnerového keře – celkem</t>
  </si>
  <si>
    <t xml:space="preserve">Travní osivo (směs na slunce) při výsevku 10-12 g / 1 m2 </t>
  </si>
  <si>
    <t>Levín</t>
  </si>
  <si>
    <t>Nad Stadionem</t>
  </si>
  <si>
    <t>javor babyka</t>
  </si>
  <si>
    <t>12 - 14</t>
  </si>
  <si>
    <t>javor mléčný</t>
  </si>
  <si>
    <t>Aesculus hippocastanum</t>
  </si>
  <si>
    <t>jírovec maďal</t>
  </si>
  <si>
    <t>Fagus sylvatica 'Fastigiata'</t>
  </si>
  <si>
    <t>buk lesní</t>
  </si>
  <si>
    <t>100 - 150</t>
  </si>
  <si>
    <t>Juglans regia</t>
  </si>
  <si>
    <t>ořešák královský</t>
  </si>
  <si>
    <t>10 - 12</t>
  </si>
  <si>
    <t xml:space="preserve">Prunus avium 'Plena' </t>
  </si>
  <si>
    <t>třešeň ptačí</t>
  </si>
  <si>
    <t xml:space="preserve">Tilia cordata </t>
  </si>
  <si>
    <t>lípa malolistá (srdčitá)</t>
  </si>
  <si>
    <t>Stromy alejového typu s balem - výsadba do roviny</t>
  </si>
  <si>
    <t xml:space="preserve">Stromy alejového typu s balem - výsadba do roviny – celkem </t>
  </si>
  <si>
    <t>Stromy alejového typu s balem - výsadba do svahu</t>
  </si>
  <si>
    <t xml:space="preserve">Stromy alejového typu s balem - výsadba do svahu – celkem </t>
  </si>
  <si>
    <t xml:space="preserve">Pinus sylvestris </t>
  </si>
  <si>
    <t>borovice lesní</t>
  </si>
  <si>
    <t>175-200</t>
  </si>
  <si>
    <t>Prunus avium</t>
  </si>
  <si>
    <t>slivoň</t>
  </si>
  <si>
    <t>Sorbus aucuparia</t>
  </si>
  <si>
    <t>jeřáb obecný</t>
  </si>
  <si>
    <t>60 - 80</t>
  </si>
  <si>
    <t>Nižší keře a půdopokryvné rostliny - výsadba do roviny</t>
  </si>
  <si>
    <t>Nižší keře a půdopokryvné rostliny - výsadba do roviny - celkem</t>
  </si>
  <si>
    <t>Caryopteris x clandonensis</t>
  </si>
  <si>
    <t>ořechokřídlec clandonský</t>
  </si>
  <si>
    <t>20 - 30</t>
  </si>
  <si>
    <t>skalník Dammerův</t>
  </si>
  <si>
    <t>10 - 20</t>
  </si>
  <si>
    <t>Hypericum calycinum</t>
  </si>
  <si>
    <t>třezalka kalíškatá</t>
  </si>
  <si>
    <t>K9</t>
  </si>
  <si>
    <t>Lonicera pileata</t>
  </si>
  <si>
    <t>zimolez kloboukatý</t>
  </si>
  <si>
    <t>mochna křovitá</t>
  </si>
  <si>
    <t>Potentilla fruticosa 'Goldteppich'</t>
  </si>
  <si>
    <t>půdopokryvná růže</t>
  </si>
  <si>
    <t>Rosa - půdopokryvná bíle kvetoucí</t>
  </si>
  <si>
    <t>Rosa pimpinellifolia</t>
  </si>
  <si>
    <t>růže bedrníkolistá</t>
  </si>
  <si>
    <t>tavolník nízký</t>
  </si>
  <si>
    <t>tavolník japonský</t>
  </si>
  <si>
    <t>Spiraea japonica 'Shirobana'</t>
  </si>
  <si>
    <t>korunatka klaná</t>
  </si>
  <si>
    <t>40 - 60</t>
  </si>
  <si>
    <t>Nižší keře a půdopokryvné rostliny - výsadba do svahu</t>
  </si>
  <si>
    <t>Nižší keře a půdopokryvné rostliny - výsadba do svahu - celkem</t>
  </si>
  <si>
    <t>Caryopteris x clandonensis 'Ferndown'</t>
  </si>
  <si>
    <t>15 - 20</t>
  </si>
  <si>
    <t>Spiraea x bumalda 'Anthony Waterer'</t>
  </si>
  <si>
    <t>Vyšší keře - výsadba do roviny</t>
  </si>
  <si>
    <t>Vyšší keře - výsadba do roviny - celkem</t>
  </si>
  <si>
    <t>dřišťál Thunbergův</t>
  </si>
  <si>
    <t>Forsythia x intermedia</t>
  </si>
  <si>
    <t>zlatice prostřední</t>
  </si>
  <si>
    <t>Spiraea x arguta</t>
  </si>
  <si>
    <t>tavolník význačný</t>
  </si>
  <si>
    <t>Syringa vulgaris</t>
  </si>
  <si>
    <t>šeřík obecný</t>
  </si>
  <si>
    <t>Viburnum carlesii</t>
  </si>
  <si>
    <t>kalina Karlesiova</t>
  </si>
  <si>
    <t>Viburnum opulus</t>
  </si>
  <si>
    <t>kalina obecná</t>
  </si>
  <si>
    <t>Vyšší keře - výsadba do svahu</t>
  </si>
  <si>
    <t>Vyšší keře - výsadba do svahu - celkem</t>
  </si>
  <si>
    <t>Berberis thunbergii 'Atropurpurea'</t>
  </si>
  <si>
    <t>třapatka</t>
  </si>
  <si>
    <t>Odstranění odpadu a betonového odpadu</t>
  </si>
  <si>
    <t>Odstranění odpadu a betonového odpadu - celkem</t>
  </si>
  <si>
    <t>Odstranění odpadu a betonového odpadu včetně uložení odpadu na skládku a skládkovné</t>
  </si>
  <si>
    <t>Vyjmutí stromu k přesazení</t>
  </si>
  <si>
    <t>Trávníkový pěstební substrát tl. vrstvy 0,05 m (násobeno koeficientem slehnutí zeminy 1,2), vč. dopravy materiálu</t>
  </si>
  <si>
    <t>Výměna stávajícího půdního profilu v případě nepředpokládaného znečištění odpadem, sutí, kamenivem, včetně odvozu nevyhovujícího materiálu a navážky zeminy bonity I.</t>
  </si>
  <si>
    <t xml:space="preserve">Chemické odplevelení půdy před založením kultury, trávníku nebo zpevněných ploch o výměře přes 20 m2 na svahu přes 1:2 do 1:1 postřikem na široko *** </t>
  </si>
  <si>
    <t xml:space="preserve">Půdní přípravek pro zpevnění povrchu půdy pro ochranu před vodní a větrnou erozí (aplikace 40 g / m2) </t>
  </si>
  <si>
    <t>Betonová palisáda</t>
  </si>
  <si>
    <t>Betonová palisáda - celkem</t>
  </si>
  <si>
    <t>Odstranění tyčí a klepadel</t>
  </si>
  <si>
    <t>Odstranění tyčí a klepadel - celkem</t>
  </si>
  <si>
    <t>Osazování betonových palisád do betonového základu jednotlivě výšky prvku do 0,5 m</t>
  </si>
  <si>
    <t>Hloubení rýh šířky do 600 mm v hornině tř. 3 objemu do 100 m3</t>
  </si>
  <si>
    <t>Uvedení prostoru podél palisád do původního stavu (dohrnutí zeminy, odvoy přebytečné zeminy, dosev trávníku)</t>
  </si>
  <si>
    <t>Betonová palisáda rozměry 115 x 115 x 350 mm, barva beton přírodní</t>
  </si>
  <si>
    <t>Tříděná zemina bonity I. Ve vrstvě 15 cm včetně ceny dopravy materiálu a koeficientu slehnutí 1,3</t>
  </si>
  <si>
    <t>181 00-6113</t>
  </si>
  <si>
    <t>Rozprostření zemin schopných zúrodnění  v rovině a ve sklonu do 1:5,  tl. vrstvy přes 0,1 do 0,2 m</t>
  </si>
  <si>
    <t>Odstranění tyčí a klepadel odfrézováním, vykopání betonových patek, zahrnutí zeminou, osetí osivem</t>
  </si>
  <si>
    <t xml:space="preserve">Acer platanoides </t>
  </si>
  <si>
    <t xml:space="preserve">Stephanandra incisa 'Crispa' </t>
  </si>
  <si>
    <t>Nad Máchovnou</t>
  </si>
  <si>
    <t>U Vodojemu</t>
  </si>
  <si>
    <t>Na Morákově</t>
  </si>
  <si>
    <t>Lonicera nitida</t>
  </si>
  <si>
    <t>zimolez lesklý</t>
  </si>
  <si>
    <t xml:space="preserve">Acer campestre </t>
  </si>
  <si>
    <t>Cornus alba</t>
  </si>
  <si>
    <t>svída bílá</t>
  </si>
  <si>
    <t xml:space="preserve">Berberis thunbergii 'Atropurpurea Nana' </t>
  </si>
  <si>
    <t>Cotoneaster dammeri Coral beauty</t>
  </si>
  <si>
    <t xml:space="preserve">Potentila fruticosa </t>
  </si>
  <si>
    <t xml:space="preserve">Doronicum caucasicum </t>
  </si>
  <si>
    <t>kamžičník východní</t>
  </si>
  <si>
    <t>Echinacea purpurea 'Prairie Splendor'</t>
  </si>
  <si>
    <t xml:space="preserve">Eryngium tripartitum </t>
  </si>
  <si>
    <t>máčka</t>
  </si>
  <si>
    <t xml:space="preserve">Lavandula angustifolia </t>
  </si>
  <si>
    <t xml:space="preserve">Pennisetum alopecuroides </t>
  </si>
  <si>
    <t>dochan psárkovitý</t>
  </si>
  <si>
    <t>Verbena bonariensis</t>
  </si>
  <si>
    <t>sporýš</t>
  </si>
  <si>
    <t>Qeurcus robur</t>
  </si>
  <si>
    <t>dub letní</t>
  </si>
  <si>
    <t>12-14</t>
  </si>
  <si>
    <t>Řez podchozí a podjezdná výška</t>
  </si>
  <si>
    <t>Řez podchozí a podjezdná výška - celkem</t>
  </si>
  <si>
    <t>Terénní modelace</t>
  </si>
  <si>
    <t xml:space="preserve">Terénní modelace – celkem </t>
  </si>
  <si>
    <t>hod</t>
  </si>
  <si>
    <t>Vytvoření roviny dle výkresu Plán ploch</t>
  </si>
  <si>
    <t>Naložení odstraněného materiálu (získané zeminy) násoběný koeficientem načechrání 1,2</t>
  </si>
  <si>
    <t>Odvoz zeminy na skládku</t>
  </si>
  <si>
    <t>Betonové šlapáky</t>
  </si>
  <si>
    <t>Betonové šlapáky - celkem</t>
  </si>
  <si>
    <t>Betonová dlaždice 0,5 x 0,5 x 0,04 m, šedý beton, včetně dopravy</t>
  </si>
  <si>
    <t xml:space="preserve">Uložení dlaždic </t>
  </si>
  <si>
    <t>Ostatní práce</t>
  </si>
  <si>
    <t>Ostatní práce - celkem</t>
  </si>
  <si>
    <t xml:space="preserve">Náklady za práce - sadové úpravy </t>
  </si>
  <si>
    <t>Odvoz odpadu na skládku</t>
  </si>
  <si>
    <t>Skládkovné</t>
  </si>
  <si>
    <t>Instalace zavlažovacích vaků ke stromů – nové výsadby, vč. visacího zámku, číselný kod</t>
  </si>
  <si>
    <t xml:space="preserve">dodávka zavlažovacích vaků, objem 100 l, polyethylen, zelená barva, vč.dopravy </t>
  </si>
  <si>
    <t>Stavba:</t>
  </si>
  <si>
    <t>Místo:</t>
  </si>
  <si>
    <t>Objednatel:</t>
  </si>
  <si>
    <t>Datum:</t>
  </si>
  <si>
    <t>Zhotovitel:</t>
  </si>
  <si>
    <t>Projektant:</t>
  </si>
  <si>
    <t>Living in green s.r.o.</t>
  </si>
  <si>
    <t>Palackého 70</t>
  </si>
  <si>
    <t>252 29 Dobřichovice</t>
  </si>
  <si>
    <t>IČO: 24828301</t>
  </si>
  <si>
    <t>DIČ: CZ24828301</t>
  </si>
  <si>
    <t>Vypracoval:</t>
  </si>
  <si>
    <t>Cena s DPH 21 %</t>
  </si>
  <si>
    <t>Náklady za práce - kácení dřevin</t>
  </si>
  <si>
    <t>Náklady za práce - arboristické zásahy</t>
  </si>
  <si>
    <t>Náklady za práce - sadové práce</t>
  </si>
  <si>
    <t>Cena celkem bez DPH</t>
  </si>
  <si>
    <t>Sazba DPH - 21 %</t>
  </si>
  <si>
    <t xml:space="preserve">Cena s DPH </t>
  </si>
  <si>
    <t>Projekt revitalizace významné sídelní zeleně v intravilánu města Králův Dvůr - OPŽP 2019</t>
  </si>
  <si>
    <t>katastr města Králův Dvůr</t>
  </si>
  <si>
    <t>město Králův Dvůr</t>
  </si>
  <si>
    <t>náměstí Míru 139</t>
  </si>
  <si>
    <t>267 01 Králův Dvůr u Berouna</t>
  </si>
  <si>
    <t>Náklady za práce - arboristické zásahy - celkem</t>
  </si>
  <si>
    <t>Kácení stromů - celkem</t>
  </si>
  <si>
    <t>Odstranění pařezu, průměr kmene 400 – 500 mm</t>
  </si>
  <si>
    <t>Odstranění pařezu, průměr kmene 400 – 500 mm – celkem</t>
  </si>
  <si>
    <t>Spiraea japonica 'Littel Princess'</t>
  </si>
  <si>
    <t>Potentilla fruticosa 'Kobold'</t>
  </si>
  <si>
    <t xml:space="preserve">Výsadba alej. stromu s balem do jamek  – celkem </t>
  </si>
  <si>
    <t>VRN (zařízení staveniště, vytyčení inženýrských sítí)</t>
  </si>
  <si>
    <t>Odstranění nevhodných dřevin průměru kmene do 100 mm výšky přes 1 m s odstraněním pařezu přes 100 do 500 m2 v rovině nebo na svahu do 1:5 včetně likvidace dřevní hmoty, naložení, odvezení na místo určené městem ke skládkování biologického materiálu</t>
  </si>
  <si>
    <t>Štěpkování získané dřevní hmoty a odvezení na místo určené městem ke skládkování biologického materiálu</t>
  </si>
  <si>
    <t>Uložení biologického materiálu a odvezení na místo určené městem ke skládkování biologického materiálu</t>
  </si>
  <si>
    <t>Uložení na skládku a odvezení na místo určené městem ke skládkování biologického materiálu</t>
  </si>
  <si>
    <t>Uložení biologického materiálu na skládku a odvezení na místo určené městem ke skládkování biologického materiálu</t>
  </si>
  <si>
    <r>
      <t xml:space="preserve">Dodávka eco pla tkaná mulčovací textílie (3-5let rozpad - biopolymer 120g/m2) proti prorůstnání plevelů </t>
    </r>
    <r>
      <rPr>
        <sz val="10"/>
        <rFont val="Arial"/>
        <family val="2"/>
        <charset val="238"/>
      </rPr>
      <t xml:space="preserve">+ 5 % </t>
    </r>
    <r>
      <rPr>
        <sz val="10"/>
        <color indexed="8"/>
        <rFont val="Arial"/>
        <family val="2"/>
        <charset val="238"/>
      </rPr>
      <t>překrytí, vč. ceny dopravy materiálu</t>
    </r>
  </si>
  <si>
    <t xml:space="preserve">Následná péče o výsadby ve 1. roce - květnaté louky a trávníky </t>
  </si>
  <si>
    <t>Odplevelovací seč do 10000 m2 (1x / rok)</t>
  </si>
  <si>
    <t>Následná péče o výsadby ve 1. roce - květnaté louky a trávníky - celkem</t>
  </si>
  <si>
    <t>Naplnění zavlažovacích vaků vodou v dávce 100 l k jednomu stromu (5x / rok, 100 l / ks)</t>
  </si>
  <si>
    <t>Odplevelení výsadeb v rovině nebo na svahu do 1:5 dřevin solitérních včetně likvidace odpadu, naložení, odvezení a se složením (1x / rok)</t>
  </si>
  <si>
    <t>Zalití rostlin vodou plochy záhonů přes 20 m2 (5x / rok, 20 l / m2)</t>
  </si>
  <si>
    <t>Odplevelení výsadeb v rovině nebo na svahu do 1:5 souvislých keřových skupin včetně likvidace odpadu, naložení, odvezení a se složením (1x / rok)</t>
  </si>
  <si>
    <t xml:space="preserve">REKAPITULACE </t>
  </si>
  <si>
    <t>Následná péče o výsadby po dobu jednoho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</si>
</sst>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\ [$Kč-405];[Red]\-#,##0.00\ [$Kč-405]"/>
    <numFmt numFmtId="165" formatCode="#,##0&quot; Kč&quot;"/>
    <numFmt numFmtId="166" formatCode="#,##0\ [$Kč-405];[Red]\-#,##0\ [$Kč-405]"/>
    <numFmt numFmtId="167" formatCode="#,##0.00&quot; Kč&quot;"/>
    <numFmt numFmtId="168" formatCode="0.0000"/>
    <numFmt numFmtId="169" formatCode="0.00000"/>
    <numFmt numFmtId="170" formatCode="0.000"/>
    <numFmt numFmtId="171" formatCode="0.0"/>
    <numFmt numFmtId="172" formatCode="#,##0.00\ &quot;Kč&quot;"/>
    <numFmt numFmtId="173" formatCode="#,##0\ &quot;Kč&quot;"/>
    <numFmt numFmtId="174" formatCode="0.00%;\-0.00%"/>
  </numFmts>
  <fonts count="3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2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rgb="FFFFFFFF"/>
        <bgColor rgb="FFEBF1DE"/>
      </patternFill>
    </fill>
    <fill>
      <patternFill patternType="solid">
        <fgColor theme="0"/>
        <bgColor indexed="3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31"/>
      </patternFill>
    </fill>
    <fill>
      <patternFill patternType="solid">
        <fgColor theme="4" tint="0.59999389629810485"/>
        <bgColor indexed="31"/>
      </patternFill>
    </fill>
    <fill>
      <patternFill patternType="solid">
        <fgColor theme="9" tint="0.39997558519241921"/>
        <bgColor indexed="3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1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3" fillId="0" borderId="0" applyNumberFormat="0" applyFill="0" applyBorder="0" applyAlignment="0" applyProtection="0"/>
    <xf numFmtId="0" fontId="1" fillId="0" borderId="0"/>
  </cellStyleXfs>
  <cellXfs count="491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/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5" fillId="0" borderId="0" xfId="1" applyFont="1"/>
    <xf numFmtId="0" fontId="4" fillId="0" borderId="0" xfId="1" applyFont="1"/>
    <xf numFmtId="0" fontId="10" fillId="0" borderId="0" xfId="1" applyFont="1"/>
    <xf numFmtId="0" fontId="13" fillId="0" borderId="0" xfId="1" applyFont="1"/>
    <xf numFmtId="0" fontId="8" fillId="2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1" fillId="0" borderId="1" xfId="1" applyBorder="1" applyAlignment="1">
      <alignment horizontal="center" vertical="center"/>
    </xf>
    <xf numFmtId="164" fontId="15" fillId="0" borderId="1" xfId="1" applyNumberFormat="1" applyFont="1" applyBorder="1" applyAlignment="1">
      <alignment horizontal="right" vertical="center"/>
    </xf>
    <xf numFmtId="0" fontId="11" fillId="0" borderId="0" xfId="1" applyAlignment="1">
      <alignment vertical="center"/>
    </xf>
    <xf numFmtId="0" fontId="3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1" fillId="0" borderId="0" xfId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11" fillId="0" borderId="1" xfId="1" applyNumberFormat="1" applyBorder="1" applyAlignment="1">
      <alignment horizontal="right" vertical="center"/>
    </xf>
    <xf numFmtId="14" fontId="11" fillId="7" borderId="1" xfId="1" applyNumberForma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 wrapText="1"/>
    </xf>
    <xf numFmtId="0" fontId="11" fillId="5" borderId="1" xfId="1" applyFill="1" applyBorder="1" applyAlignment="1">
      <alignment horizontal="center" vertical="center"/>
    </xf>
    <xf numFmtId="164" fontId="11" fillId="5" borderId="1" xfId="1" applyNumberFormat="1" applyFill="1" applyBorder="1" applyAlignment="1">
      <alignment horizontal="center" vertical="center"/>
    </xf>
    <xf numFmtId="0" fontId="3" fillId="8" borderId="0" xfId="1" applyFont="1" applyFill="1"/>
    <xf numFmtId="171" fontId="0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1" fillId="9" borderId="1" xfId="1" applyFill="1" applyBorder="1" applyAlignment="1">
      <alignment horizontal="center" vertical="center"/>
    </xf>
    <xf numFmtId="0" fontId="11" fillId="4" borderId="1" xfId="1" applyFill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3" fillId="4" borderId="0" xfId="1" applyFont="1" applyFill="1"/>
    <xf numFmtId="0" fontId="4" fillId="4" borderId="0" xfId="1" applyFont="1" applyFill="1"/>
    <xf numFmtId="1" fontId="11" fillId="0" borderId="1" xfId="1" applyNumberFormat="1" applyBorder="1" applyAlignment="1">
      <alignment horizontal="center" vertical="center"/>
    </xf>
    <xf numFmtId="0" fontId="0" fillId="9" borderId="1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1" fillId="0" borderId="1" xfId="1" applyBorder="1" applyAlignment="1">
      <alignment horizontal="center" vertical="center" wrapText="1"/>
    </xf>
    <xf numFmtId="164" fontId="11" fillId="4" borderId="1" xfId="1" applyNumberFormat="1" applyFill="1" applyBorder="1" applyAlignment="1">
      <alignment horizontal="right" vertical="center"/>
    </xf>
    <xf numFmtId="0" fontId="11" fillId="0" borderId="0" xfId="1"/>
    <xf numFmtId="0" fontId="11" fillId="7" borderId="1" xfId="1" applyFill="1" applyBorder="1" applyAlignment="1">
      <alignment horizontal="center" vertical="center"/>
    </xf>
    <xf numFmtId="164" fontId="11" fillId="7" borderId="1" xfId="1" applyNumberFormat="1" applyFill="1" applyBorder="1" applyAlignment="1">
      <alignment horizontal="right" vertical="center"/>
    </xf>
    <xf numFmtId="167" fontId="11" fillId="0" borderId="1" xfId="1" applyNumberFormat="1" applyBorder="1" applyAlignment="1">
      <alignment horizontal="right" vertical="center"/>
    </xf>
    <xf numFmtId="164" fontId="11" fillId="0" borderId="1" xfId="1" applyNumberFormat="1" applyBorder="1" applyAlignment="1">
      <alignment horizontal="right" vertical="center" wrapText="1"/>
    </xf>
    <xf numFmtId="0" fontId="11" fillId="3" borderId="1" xfId="1" applyFill="1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3" fillId="11" borderId="1" xfId="1" applyFont="1" applyFill="1" applyBorder="1" applyAlignment="1">
      <alignment horizontal="center" vertical="center"/>
    </xf>
    <xf numFmtId="0" fontId="3" fillId="11" borderId="0" xfId="1" applyFont="1" applyFill="1"/>
    <xf numFmtId="0" fontId="3" fillId="12" borderId="1" xfId="1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3" borderId="1" xfId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173" fontId="8" fillId="2" borderId="1" xfId="1" applyNumberFormat="1" applyFont="1" applyFill="1" applyBorder="1" applyAlignment="1">
      <alignment horizontal="right" vertical="center"/>
    </xf>
    <xf numFmtId="166" fontId="8" fillId="2" borderId="1" xfId="1" applyNumberFormat="1" applyFont="1" applyFill="1" applyBorder="1" applyAlignment="1">
      <alignment horizontal="right" vertical="center"/>
    </xf>
    <xf numFmtId="165" fontId="8" fillId="2" borderId="1" xfId="1" applyNumberFormat="1" applyFont="1" applyFill="1" applyBorder="1" applyAlignment="1">
      <alignment horizontal="right" vertical="center"/>
    </xf>
    <xf numFmtId="0" fontId="11" fillId="14" borderId="0" xfId="1" applyFill="1"/>
    <xf numFmtId="0" fontId="11" fillId="14" borderId="1" xfId="0" applyFont="1" applyFill="1" applyBorder="1" applyAlignment="1">
      <alignment horizontal="center" vertical="center"/>
    </xf>
    <xf numFmtId="0" fontId="8" fillId="14" borderId="0" xfId="1" applyFont="1" applyFill="1"/>
    <xf numFmtId="172" fontId="11" fillId="0" borderId="1" xfId="1" applyNumberFormat="1" applyBorder="1" applyAlignment="1">
      <alignment horizontal="right" vertical="center"/>
    </xf>
    <xf numFmtId="9" fontId="11" fillId="6" borderId="1" xfId="1" applyNumberFormat="1" applyFill="1" applyBorder="1" applyAlignment="1">
      <alignment horizontal="center" vertical="center"/>
    </xf>
    <xf numFmtId="0" fontId="3" fillId="18" borderId="1" xfId="1" applyFont="1" applyFill="1" applyBorder="1"/>
    <xf numFmtId="9" fontId="0" fillId="0" borderId="1" xfId="1" applyNumberFormat="1" applyFont="1" applyBorder="1" applyAlignment="1">
      <alignment horizontal="center" vertical="center"/>
    </xf>
    <xf numFmtId="167" fontId="15" fillId="0" borderId="1" xfId="1" applyNumberFormat="1" applyFont="1" applyBorder="1" applyAlignment="1">
      <alignment horizontal="right" vertical="center"/>
    </xf>
    <xf numFmtId="172" fontId="7" fillId="0" borderId="1" xfId="1" applyNumberFormat="1" applyFont="1" applyBorder="1" applyAlignment="1">
      <alignment horizontal="right" vertical="center" wrapText="1"/>
    </xf>
    <xf numFmtId="172" fontId="8" fillId="2" borderId="1" xfId="1" applyNumberFormat="1" applyFont="1" applyFill="1" applyBorder="1" applyAlignment="1">
      <alignment vertical="center"/>
    </xf>
    <xf numFmtId="172" fontId="11" fillId="0" borderId="1" xfId="1" applyNumberFormat="1" applyBorder="1" applyAlignment="1">
      <alignment vertical="center"/>
    </xf>
    <xf numFmtId="172" fontId="8" fillId="7" borderId="1" xfId="1" applyNumberFormat="1" applyFont="1" applyFill="1" applyBorder="1" applyAlignment="1">
      <alignment vertical="center"/>
    </xf>
    <xf numFmtId="172" fontId="7" fillId="0" borderId="1" xfId="1" applyNumberFormat="1" applyFont="1" applyBorder="1" applyAlignment="1">
      <alignment horizontal="right" vertical="center"/>
    </xf>
    <xf numFmtId="172" fontId="8" fillId="5" borderId="1" xfId="1" applyNumberFormat="1" applyFont="1" applyFill="1" applyBorder="1" applyAlignment="1">
      <alignment vertical="center"/>
    </xf>
    <xf numFmtId="172" fontId="8" fillId="3" borderId="1" xfId="1" applyNumberFormat="1" applyFont="1" applyFill="1" applyBorder="1" applyAlignment="1">
      <alignment vertical="center"/>
    </xf>
    <xf numFmtId="172" fontId="11" fillId="0" borderId="1" xfId="1" applyNumberFormat="1" applyBorder="1" applyAlignment="1">
      <alignment horizontal="right" vertical="center" wrapText="1"/>
    </xf>
    <xf numFmtId="172" fontId="8" fillId="15" borderId="1" xfId="1" applyNumberFormat="1" applyFont="1" applyFill="1" applyBorder="1" applyAlignment="1">
      <alignment vertical="center"/>
    </xf>
    <xf numFmtId="172" fontId="10" fillId="0" borderId="0" xfId="1" applyNumberFormat="1" applyFont="1" applyAlignment="1">
      <alignment vertical="center"/>
    </xf>
    <xf numFmtId="172" fontId="3" fillId="0" borderId="0" xfId="1" applyNumberFormat="1" applyFont="1" applyAlignment="1">
      <alignment vertical="center"/>
    </xf>
    <xf numFmtId="0" fontId="0" fillId="0" borderId="1" xfId="0" applyBorder="1" applyAlignment="1">
      <alignment horizontal="center" vertical="center"/>
    </xf>
    <xf numFmtId="14" fontId="0" fillId="7" borderId="1" xfId="1" applyNumberFormat="1" applyFont="1" applyFill="1" applyBorder="1" applyAlignment="1">
      <alignment horizontal="center" vertical="center"/>
    </xf>
    <xf numFmtId="0" fontId="0" fillId="13" borderId="1" xfId="1" applyFont="1" applyFill="1" applyBorder="1" applyAlignment="1">
      <alignment horizontal="center" vertical="center"/>
    </xf>
    <xf numFmtId="164" fontId="11" fillId="13" borderId="1" xfId="1" applyNumberFormat="1" applyFill="1" applyBorder="1" applyAlignment="1">
      <alignment horizontal="right" vertical="center"/>
    </xf>
    <xf numFmtId="0" fontId="3" fillId="13" borderId="0" xfId="1" applyFont="1" applyFill="1"/>
    <xf numFmtId="0" fontId="0" fillId="13" borderId="1" xfId="1" applyFont="1" applyFill="1" applyBorder="1" applyAlignment="1">
      <alignment vertical="center"/>
    </xf>
    <xf numFmtId="164" fontId="11" fillId="13" borderId="1" xfId="0" applyNumberFormat="1" applyFont="1" applyFill="1" applyBorder="1" applyAlignment="1">
      <alignment horizontal="right" vertical="center" wrapText="1"/>
    </xf>
    <xf numFmtId="0" fontId="19" fillId="0" borderId="0" xfId="1" applyFont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8" fillId="13" borderId="1" xfId="0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/>
    <xf numFmtId="49" fontId="18" fillId="1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3" fillId="13" borderId="0" xfId="1" applyFont="1" applyFill="1"/>
    <xf numFmtId="0" fontId="11" fillId="13" borderId="1" xfId="0" applyFont="1" applyFill="1" applyBorder="1" applyAlignment="1">
      <alignment horizontal="center" vertical="center" wrapText="1"/>
    </xf>
    <xf numFmtId="167" fontId="11" fillId="13" borderId="1" xfId="0" applyNumberFormat="1" applyFont="1" applyFill="1" applyBorder="1" applyAlignment="1">
      <alignment horizontal="right" vertical="center" wrapText="1"/>
    </xf>
    <xf numFmtId="0" fontId="11" fillId="16" borderId="1" xfId="1" applyFill="1" applyBorder="1" applyAlignment="1">
      <alignment horizontal="center" vertical="center"/>
    </xf>
    <xf numFmtId="172" fontId="8" fillId="19" borderId="1" xfId="1" applyNumberFormat="1" applyFont="1" applyFill="1" applyBorder="1" applyAlignment="1">
      <alignment vertical="center"/>
    </xf>
    <xf numFmtId="3" fontId="11" fillId="0" borderId="1" xfId="1" applyNumberFormat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9" fontId="11" fillId="0" borderId="1" xfId="1" applyNumberFormat="1" applyBorder="1" applyAlignment="1">
      <alignment horizontal="center" vertical="center"/>
    </xf>
    <xf numFmtId="172" fontId="3" fillId="0" borderId="1" xfId="1" applyNumberFormat="1" applyFont="1" applyBorder="1" applyAlignment="1">
      <alignment horizontal="right" vertical="center"/>
    </xf>
    <xf numFmtId="172" fontId="8" fillId="6" borderId="1" xfId="1" applyNumberFormat="1" applyFont="1" applyFill="1" applyBorder="1" applyAlignment="1">
      <alignment vertical="center"/>
    </xf>
    <xf numFmtId="0" fontId="11" fillId="0" borderId="1" xfId="1" applyBorder="1" applyAlignment="1">
      <alignment vertical="center"/>
    </xf>
    <xf numFmtId="0" fontId="11" fillId="0" borderId="1" xfId="1" applyBorder="1" applyAlignment="1">
      <alignment horizontal="left" vertical="center"/>
    </xf>
    <xf numFmtId="0" fontId="8" fillId="2" borderId="1" xfId="1" applyFont="1" applyFill="1" applyBorder="1" applyAlignment="1">
      <alignment vertical="center"/>
    </xf>
    <xf numFmtId="0" fontId="0" fillId="0" borderId="1" xfId="1" applyFont="1" applyBorder="1" applyAlignment="1">
      <alignment horizontal="left" vertical="center"/>
    </xf>
    <xf numFmtId="0" fontId="11" fillId="13" borderId="1" xfId="1" applyFill="1" applyBorder="1" applyAlignment="1">
      <alignment vertical="center"/>
    </xf>
    <xf numFmtId="49" fontId="0" fillId="0" borderId="1" xfId="0" applyNumberFormat="1" applyBorder="1" applyAlignment="1"/>
    <xf numFmtId="0" fontId="3" fillId="0" borderId="1" xfId="0" applyFont="1" applyBorder="1" applyAlignment="1">
      <alignment horizontal="left" vertical="center"/>
    </xf>
    <xf numFmtId="49" fontId="18" fillId="0" borderId="1" xfId="0" applyNumberFormat="1" applyFont="1" applyBorder="1" applyAlignment="1"/>
    <xf numFmtId="14" fontId="11" fillId="2" borderId="1" xfId="1" applyNumberFormat="1" applyFill="1" applyBorder="1" applyAlignment="1">
      <alignment horizontal="center" vertical="center"/>
    </xf>
    <xf numFmtId="164" fontId="11" fillId="2" borderId="1" xfId="1" applyNumberFormat="1" applyFill="1" applyBorder="1" applyAlignment="1">
      <alignment horizontal="center" vertical="center"/>
    </xf>
    <xf numFmtId="172" fontId="4" fillId="12" borderId="1" xfId="1" applyNumberFormat="1" applyFont="1" applyFill="1" applyBorder="1" applyAlignment="1">
      <alignment vertical="center"/>
    </xf>
    <xf numFmtId="172" fontId="11" fillId="4" borderId="1" xfId="1" applyNumberFormat="1" applyFill="1" applyBorder="1" applyAlignment="1">
      <alignment vertical="center"/>
    </xf>
    <xf numFmtId="172" fontId="11" fillId="13" borderId="1" xfId="1" applyNumberFormat="1" applyFill="1" applyBorder="1" applyAlignment="1">
      <alignment vertical="center"/>
    </xf>
    <xf numFmtId="164" fontId="11" fillId="6" borderId="1" xfId="1" applyNumberFormat="1" applyFill="1" applyBorder="1" applyAlignment="1">
      <alignment horizontal="center" vertical="center"/>
    </xf>
    <xf numFmtId="0" fontId="0" fillId="4" borderId="1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11" fillId="3" borderId="1" xfId="1" applyNumberFormat="1" applyFill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8" fillId="14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3" fillId="11" borderId="0" xfId="1" applyFont="1" applyFill="1" applyBorder="1"/>
    <xf numFmtId="0" fontId="3" fillId="4" borderId="0" xfId="1" applyFont="1" applyFill="1" applyBorder="1"/>
    <xf numFmtId="0" fontId="4" fillId="4" borderId="0" xfId="1" applyFont="1" applyFill="1" applyBorder="1"/>
    <xf numFmtId="0" fontId="4" fillId="0" borderId="0" xfId="1" applyFont="1" applyBorder="1"/>
    <xf numFmtId="0" fontId="3" fillId="8" borderId="0" xfId="1" applyFont="1" applyFill="1" applyBorder="1"/>
    <xf numFmtId="0" fontId="13" fillId="0" borderId="0" xfId="1" applyFont="1" applyBorder="1"/>
    <xf numFmtId="0" fontId="8" fillId="0" borderId="0" xfId="1" applyFont="1" applyBorder="1" applyAlignment="1">
      <alignment vertical="center"/>
    </xf>
    <xf numFmtId="0" fontId="13" fillId="13" borderId="0" xfId="1" applyFont="1" applyFill="1" applyBorder="1"/>
    <xf numFmtId="0" fontId="3" fillId="13" borderId="0" xfId="1" applyFont="1" applyFill="1" applyBorder="1"/>
    <xf numFmtId="0" fontId="5" fillId="0" borderId="0" xfId="1" applyFont="1" applyBorder="1"/>
    <xf numFmtId="0" fontId="10" fillId="0" borderId="0" xfId="1" applyFont="1" applyBorder="1"/>
    <xf numFmtId="0" fontId="8" fillId="14" borderId="0" xfId="1" applyFont="1" applyFill="1" applyBorder="1"/>
    <xf numFmtId="0" fontId="11" fillId="0" borderId="0" xfId="1" applyBorder="1"/>
    <xf numFmtId="0" fontId="11" fillId="14" borderId="0" xfId="1" applyFill="1" applyBorder="1"/>
    <xf numFmtId="0" fontId="15" fillId="0" borderId="5" xfId="1" applyFont="1" applyBorder="1" applyAlignment="1">
      <alignment horizontal="center" vertical="center"/>
    </xf>
    <xf numFmtId="164" fontId="15" fillId="0" borderId="5" xfId="1" applyNumberFormat="1" applyFont="1" applyBorder="1" applyAlignment="1">
      <alignment horizontal="right" vertical="center"/>
    </xf>
    <xf numFmtId="172" fontId="11" fillId="0" borderId="5" xfId="1" applyNumberFormat="1" applyBorder="1" applyAlignment="1">
      <alignment vertical="center"/>
    </xf>
    <xf numFmtId="0" fontId="15" fillId="0" borderId="7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164" fontId="15" fillId="0" borderId="8" xfId="1" applyNumberFormat="1" applyFont="1" applyBorder="1" applyAlignment="1">
      <alignment horizontal="right" vertical="center"/>
    </xf>
    <xf numFmtId="172" fontId="11" fillId="0" borderId="9" xfId="1" applyNumberFormat="1" applyBorder="1" applyAlignment="1">
      <alignment vertical="center"/>
    </xf>
    <xf numFmtId="0" fontId="15" fillId="0" borderId="10" xfId="1" applyFont="1" applyBorder="1" applyAlignment="1">
      <alignment horizontal="center" vertical="center"/>
    </xf>
    <xf numFmtId="172" fontId="11" fillId="0" borderId="11" xfId="1" applyNumberFormat="1" applyBorder="1" applyAlignment="1">
      <alignment vertical="center"/>
    </xf>
    <xf numFmtId="0" fontId="11" fillId="0" borderId="10" xfId="1" applyBorder="1" applyAlignment="1">
      <alignment horizontal="center" vertical="center"/>
    </xf>
    <xf numFmtId="0" fontId="11" fillId="0" borderId="12" xfId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164" fontId="15" fillId="0" borderId="13" xfId="1" applyNumberFormat="1" applyFont="1" applyBorder="1" applyAlignment="1">
      <alignment horizontal="right" vertical="center"/>
    </xf>
    <xf numFmtId="172" fontId="11" fillId="0" borderId="14" xfId="1" applyNumberFormat="1" applyBorder="1" applyAlignment="1">
      <alignment vertical="center"/>
    </xf>
    <xf numFmtId="0" fontId="0" fillId="13" borderId="6" xfId="0" applyFill="1" applyBorder="1" applyAlignment="1">
      <alignment horizontal="center" vertical="center"/>
    </xf>
    <xf numFmtId="0" fontId="0" fillId="13" borderId="6" xfId="1" applyFont="1" applyFill="1" applyBorder="1" applyAlignment="1">
      <alignment vertical="center"/>
    </xf>
    <xf numFmtId="0" fontId="11" fillId="13" borderId="6" xfId="1" applyFill="1" applyBorder="1" applyAlignment="1">
      <alignment vertical="center"/>
    </xf>
    <xf numFmtId="0" fontId="0" fillId="13" borderId="6" xfId="1" applyFont="1" applyFill="1" applyBorder="1" applyAlignment="1">
      <alignment horizontal="center" vertical="center"/>
    </xf>
    <xf numFmtId="164" fontId="11" fillId="13" borderId="6" xfId="1" applyNumberFormat="1" applyFill="1" applyBorder="1" applyAlignment="1">
      <alignment horizontal="right" vertical="center"/>
    </xf>
    <xf numFmtId="172" fontId="11" fillId="13" borderId="6" xfId="1" applyNumberFormat="1" applyFill="1" applyBorder="1" applyAlignment="1">
      <alignment vertical="center"/>
    </xf>
    <xf numFmtId="0" fontId="11" fillId="0" borderId="7" xfId="1" applyBorder="1" applyAlignment="1">
      <alignment horizontal="center" vertical="center"/>
    </xf>
    <xf numFmtId="0" fontId="11" fillId="0" borderId="8" xfId="1" applyBorder="1" applyAlignment="1">
      <alignment horizontal="center" vertical="center"/>
    </xf>
    <xf numFmtId="164" fontId="11" fillId="0" borderId="8" xfId="1" applyNumberFormat="1" applyBorder="1" applyAlignment="1">
      <alignment horizontal="right" vertical="center"/>
    </xf>
    <xf numFmtId="0" fontId="11" fillId="0" borderId="13" xfId="1" applyBorder="1" applyAlignment="1">
      <alignment horizontal="center" vertical="center"/>
    </xf>
    <xf numFmtId="164" fontId="11" fillId="0" borderId="13" xfId="1" applyNumberFormat="1" applyBorder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172" fontId="11" fillId="0" borderId="1" xfId="1" applyNumberFormat="1" applyFont="1" applyBorder="1" applyAlignment="1">
      <alignment vertical="center"/>
    </xf>
    <xf numFmtId="0" fontId="0" fillId="21" borderId="1" xfId="6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26" fillId="0" borderId="0" xfId="1" applyFont="1" applyAlignment="1">
      <alignment vertical="center"/>
    </xf>
    <xf numFmtId="0" fontId="26" fillId="0" borderId="0" xfId="1" applyFont="1"/>
    <xf numFmtId="0" fontId="12" fillId="0" borderId="0" xfId="1" applyFont="1" applyAlignment="1">
      <alignment horizontal="center" vertical="center"/>
    </xf>
    <xf numFmtId="0" fontId="4" fillId="0" borderId="0" xfId="7" applyFont="1" applyAlignment="1">
      <alignment wrapText="1"/>
    </xf>
    <xf numFmtId="0" fontId="3" fillId="0" borderId="0" xfId="7" applyFont="1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7" applyFont="1" applyAlignment="1">
      <alignment horizontal="right"/>
    </xf>
    <xf numFmtId="49" fontId="3" fillId="0" borderId="0" xfId="1" applyNumberFormat="1" applyFont="1" applyAlignment="1">
      <alignment horizontal="right"/>
    </xf>
    <xf numFmtId="0" fontId="3" fillId="0" borderId="0" xfId="7" applyFont="1" applyAlignment="1">
      <alignment wrapText="1"/>
    </xf>
    <xf numFmtId="0" fontId="3" fillId="0" borderId="0" xfId="7" applyFont="1" applyAlignment="1" applyProtection="1">
      <alignment horizontal="left" vertical="center" wrapText="1"/>
      <protection locked="0"/>
    </xf>
    <xf numFmtId="0" fontId="3" fillId="0" borderId="0" xfId="7" applyFont="1" applyAlignment="1" applyProtection="1">
      <alignment horizontal="left" vertical="center"/>
      <protection locked="0"/>
    </xf>
    <xf numFmtId="174" fontId="3" fillId="0" borderId="0" xfId="7" applyNumberFormat="1" applyFont="1" applyAlignment="1" applyProtection="1">
      <alignment vertical="center"/>
      <protection locked="0"/>
    </xf>
    <xf numFmtId="0" fontId="3" fillId="22" borderId="0" xfId="1" applyFont="1" applyFill="1" applyAlignment="1">
      <alignment vertical="center"/>
    </xf>
    <xf numFmtId="172" fontId="4" fillId="18" borderId="1" xfId="7" applyNumberFormat="1" applyFont="1" applyFill="1" applyBorder="1" applyAlignment="1">
      <alignment vertical="center"/>
    </xf>
    <xf numFmtId="0" fontId="8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wrapText="1"/>
    </xf>
    <xf numFmtId="0" fontId="12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164" fontId="4" fillId="23" borderId="1" xfId="7" applyNumberFormat="1" applyFont="1" applyFill="1" applyBorder="1" applyAlignment="1">
      <alignment vertical="center"/>
    </xf>
    <xf numFmtId="0" fontId="3" fillId="0" borderId="0" xfId="0" applyFont="1" applyAlignment="1">
      <alignment wrapText="1"/>
    </xf>
    <xf numFmtId="164" fontId="4" fillId="24" borderId="1" xfId="7" applyNumberFormat="1" applyFont="1" applyFill="1" applyBorder="1" applyAlignment="1">
      <alignment vertical="center"/>
    </xf>
    <xf numFmtId="164" fontId="4" fillId="25" borderId="1" xfId="7" applyNumberFormat="1" applyFont="1" applyFill="1" applyBorder="1" applyAlignment="1">
      <alignment vertical="center"/>
    </xf>
    <xf numFmtId="164" fontId="4" fillId="26" borderId="1" xfId="7" applyNumberFormat="1" applyFont="1" applyFill="1" applyBorder="1" applyAlignment="1">
      <alignment vertical="center"/>
    </xf>
    <xf numFmtId="164" fontId="4" fillId="14" borderId="1" xfId="7" applyNumberFormat="1" applyFont="1" applyFill="1" applyBorder="1" applyAlignment="1">
      <alignment vertical="center"/>
    </xf>
    <xf numFmtId="0" fontId="3" fillId="0" borderId="0" xfId="1" applyFont="1" applyAlignment="1">
      <alignment vertical="center" wrapText="1"/>
    </xf>
    <xf numFmtId="0" fontId="16" fillId="0" borderId="0" xfId="7" applyFont="1" applyAlignment="1" applyProtection="1">
      <alignment horizontal="left" vertical="center" wrapText="1"/>
      <protection locked="0"/>
    </xf>
    <xf numFmtId="0" fontId="16" fillId="0" borderId="0" xfId="7" applyFont="1" applyAlignment="1" applyProtection="1">
      <alignment horizontal="left" vertical="center"/>
      <protection locked="0"/>
    </xf>
    <xf numFmtId="174" fontId="16" fillId="0" borderId="0" xfId="7" applyNumberFormat="1" applyFont="1" applyAlignment="1" applyProtection="1">
      <alignment vertical="center"/>
      <protection locked="0"/>
    </xf>
    <xf numFmtId="172" fontId="3" fillId="0" borderId="0" xfId="7" applyNumberFormat="1" applyFont="1" applyAlignment="1" applyProtection="1">
      <alignment horizontal="left" vertical="center"/>
      <protection locked="0"/>
    </xf>
    <xf numFmtId="0" fontId="19" fillId="0" borderId="0" xfId="1" applyFont="1" applyAlignment="1">
      <alignment horizontal="left" vertical="center" wrapText="1"/>
    </xf>
    <xf numFmtId="0" fontId="4" fillId="14" borderId="3" xfId="7" applyFont="1" applyFill="1" applyBorder="1" applyAlignment="1">
      <alignment vertical="center"/>
    </xf>
    <xf numFmtId="0" fontId="4" fillId="14" borderId="4" xfId="7" applyFont="1" applyFill="1" applyBorder="1" applyAlignment="1">
      <alignment vertical="center"/>
    </xf>
    <xf numFmtId="0" fontId="4" fillId="26" borderId="3" xfId="7" applyFont="1" applyFill="1" applyBorder="1" applyAlignment="1">
      <alignment vertical="center"/>
    </xf>
    <xf numFmtId="0" fontId="4" fillId="26" borderId="4" xfId="7" applyFont="1" applyFill="1" applyBorder="1" applyAlignment="1">
      <alignment vertical="center"/>
    </xf>
    <xf numFmtId="0" fontId="4" fillId="25" borderId="3" xfId="7" applyFont="1" applyFill="1" applyBorder="1" applyAlignment="1">
      <alignment vertical="center"/>
    </xf>
    <xf numFmtId="0" fontId="4" fillId="25" borderId="4" xfId="7" applyFont="1" applyFill="1" applyBorder="1" applyAlignment="1">
      <alignment vertical="center"/>
    </xf>
    <xf numFmtId="0" fontId="4" fillId="24" borderId="3" xfId="7" applyFont="1" applyFill="1" applyBorder="1" applyAlignment="1">
      <alignment vertical="center"/>
    </xf>
    <xf numFmtId="0" fontId="4" fillId="24" borderId="4" xfId="7" applyFont="1" applyFill="1" applyBorder="1" applyAlignment="1">
      <alignment vertical="center"/>
    </xf>
    <xf numFmtId="0" fontId="4" fillId="23" borderId="3" xfId="7" applyFont="1" applyFill="1" applyBorder="1" applyAlignment="1">
      <alignment vertical="center"/>
    </xf>
    <xf numFmtId="0" fontId="4" fillId="23" borderId="4" xfId="7" applyFont="1" applyFill="1" applyBorder="1" applyAlignment="1">
      <alignment vertical="center"/>
    </xf>
    <xf numFmtId="0" fontId="26" fillId="0" borderId="0" xfId="7" applyFont="1"/>
    <xf numFmtId="0" fontId="22" fillId="0" borderId="0" xfId="1" applyFont="1" applyAlignment="1">
      <alignment horizontal="center" vertical="center"/>
    </xf>
    <xf numFmtId="0" fontId="21" fillId="0" borderId="0" xfId="0" applyFont="1"/>
    <xf numFmtId="0" fontId="26" fillId="0" borderId="0" xfId="7" applyFont="1" applyAlignment="1">
      <alignment horizontal="right"/>
    </xf>
    <xf numFmtId="0" fontId="21" fillId="0" borderId="0" xfId="1" applyFont="1" applyAlignment="1">
      <alignment horizontal="center" vertical="center"/>
    </xf>
    <xf numFmtId="0" fontId="26" fillId="0" borderId="0" xfId="7" applyFont="1" applyAlignment="1" applyProtection="1">
      <alignment horizontal="left" vertical="center"/>
      <protection locked="0"/>
    </xf>
    <xf numFmtId="0" fontId="22" fillId="23" borderId="4" xfId="7" applyFont="1" applyFill="1" applyBorder="1" applyAlignment="1">
      <alignment vertical="center"/>
    </xf>
    <xf numFmtId="0" fontId="22" fillId="24" borderId="4" xfId="7" applyFont="1" applyFill="1" applyBorder="1" applyAlignment="1">
      <alignment vertical="center"/>
    </xf>
    <xf numFmtId="0" fontId="22" fillId="25" borderId="4" xfId="7" applyFont="1" applyFill="1" applyBorder="1" applyAlignment="1">
      <alignment vertical="center"/>
    </xf>
    <xf numFmtId="0" fontId="22" fillId="26" borderId="4" xfId="7" applyFont="1" applyFill="1" applyBorder="1" applyAlignment="1">
      <alignment vertical="center"/>
    </xf>
    <xf numFmtId="0" fontId="22" fillId="14" borderId="4" xfId="7" applyFont="1" applyFill="1" applyBorder="1" applyAlignment="1">
      <alignment vertical="center"/>
    </xf>
    <xf numFmtId="0" fontId="27" fillId="0" borderId="0" xfId="7" applyFont="1" applyAlignment="1" applyProtection="1">
      <alignment horizontal="left" vertical="center"/>
      <protection locked="0"/>
    </xf>
    <xf numFmtId="1" fontId="19" fillId="2" borderId="1" xfId="1" applyNumberFormat="1" applyFont="1" applyFill="1" applyBorder="1" applyAlignment="1">
      <alignment horizontal="center" vertical="center"/>
    </xf>
    <xf numFmtId="14" fontId="21" fillId="7" borderId="1" xfId="1" applyNumberFormat="1" applyFont="1" applyFill="1" applyBorder="1" applyAlignment="1">
      <alignment horizontal="center" vertical="center"/>
    </xf>
    <xf numFmtId="0" fontId="19" fillId="2" borderId="1" xfId="1" applyFont="1" applyFill="1" applyBorder="1" applyAlignment="1">
      <alignment horizontal="center" vertical="center"/>
    </xf>
    <xf numFmtId="0" fontId="21" fillId="5" borderId="1" xfId="1" applyFont="1" applyFill="1" applyBorder="1" applyAlignment="1">
      <alignment horizontal="center" vertical="center"/>
    </xf>
    <xf numFmtId="169" fontId="21" fillId="5" borderId="1" xfId="1" applyNumberFormat="1" applyFont="1" applyFill="1" applyBorder="1" applyAlignment="1">
      <alignment horizontal="center" vertical="center"/>
    </xf>
    <xf numFmtId="171" fontId="19" fillId="5" borderId="1" xfId="1" applyNumberFormat="1" applyFont="1" applyFill="1" applyBorder="1" applyAlignment="1">
      <alignment horizontal="center" vertical="center"/>
    </xf>
    <xf numFmtId="9" fontId="21" fillId="6" borderId="1" xfId="1" applyNumberFormat="1" applyFont="1" applyFill="1" applyBorder="1" applyAlignment="1">
      <alignment horizontal="center" vertical="center"/>
    </xf>
    <xf numFmtId="1" fontId="19" fillId="6" borderId="1" xfId="1" applyNumberFormat="1" applyFont="1" applyFill="1" applyBorder="1" applyAlignment="1">
      <alignment horizontal="center" vertical="center"/>
    </xf>
    <xf numFmtId="0" fontId="26" fillId="18" borderId="1" xfId="1" applyFont="1" applyFill="1" applyBorder="1"/>
    <xf numFmtId="0" fontId="21" fillId="3" borderId="1" xfId="1" applyFont="1" applyFill="1" applyBorder="1" applyAlignment="1">
      <alignment horizontal="center" vertical="center"/>
    </xf>
    <xf numFmtId="0" fontId="19" fillId="3" borderId="1" xfId="1" applyFont="1" applyFill="1" applyBorder="1" applyAlignment="1">
      <alignment horizontal="center" vertical="center"/>
    </xf>
    <xf numFmtId="0" fontId="21" fillId="7" borderId="1" xfId="1" applyFont="1" applyFill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28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5" fillId="27" borderId="1" xfId="1" applyFont="1" applyFill="1" applyBorder="1" applyAlignment="1">
      <alignment vertical="center"/>
    </xf>
    <xf numFmtId="0" fontId="3" fillId="24" borderId="0" xfId="1" applyFont="1" applyFill="1" applyBorder="1"/>
    <xf numFmtId="0" fontId="3" fillId="24" borderId="0" xfId="1" applyFont="1" applyFill="1"/>
    <xf numFmtId="0" fontId="11" fillId="24" borderId="1" xfId="1" applyFill="1" applyBorder="1" applyAlignment="1">
      <alignment horizontal="center" vertical="center"/>
    </xf>
    <xf numFmtId="0" fontId="4" fillId="24" borderId="0" xfId="1" applyFont="1" applyFill="1" applyBorder="1"/>
    <xf numFmtId="0" fontId="4" fillId="24" borderId="0" xfId="1" applyFont="1" applyFill="1"/>
    <xf numFmtId="0" fontId="11" fillId="26" borderId="1" xfId="1" applyFill="1" applyBorder="1" applyAlignment="1">
      <alignment horizontal="center" vertical="center"/>
    </xf>
    <xf numFmtId="0" fontId="13" fillId="26" borderId="0" xfId="1" applyFont="1" applyFill="1" applyBorder="1"/>
    <xf numFmtId="0" fontId="13" fillId="26" borderId="0" xfId="1" applyFont="1" applyFill="1"/>
    <xf numFmtId="0" fontId="3" fillId="25" borderId="0" xfId="1" applyFont="1" applyFill="1" applyBorder="1"/>
    <xf numFmtId="0" fontId="3" fillId="25" borderId="0" xfId="1" applyFont="1" applyFill="1"/>
    <xf numFmtId="0" fontId="11" fillId="30" borderId="1" xfId="1" applyFill="1" applyBorder="1" applyAlignment="1">
      <alignment horizontal="center" vertical="center"/>
    </xf>
    <xf numFmtId="172" fontId="8" fillId="31" borderId="1" xfId="1" applyNumberFormat="1" applyFont="1" applyFill="1" applyBorder="1" applyAlignment="1">
      <alignment vertical="center"/>
    </xf>
    <xf numFmtId="0" fontId="4" fillId="30" borderId="0" xfId="1" applyFont="1" applyFill="1" applyBorder="1"/>
    <xf numFmtId="0" fontId="4" fillId="30" borderId="0" xfId="1" applyFont="1" applyFill="1"/>
    <xf numFmtId="0" fontId="24" fillId="4" borderId="1" xfId="1" applyFont="1" applyFill="1" applyBorder="1" applyAlignment="1">
      <alignment horizontal="center" vertical="center"/>
    </xf>
    <xf numFmtId="0" fontId="24" fillId="0" borderId="1" xfId="1" applyFont="1" applyBorder="1" applyAlignment="1">
      <alignment horizontal="center" vertical="center"/>
    </xf>
    <xf numFmtId="0" fontId="24" fillId="0" borderId="1" xfId="1" applyFont="1" applyBorder="1" applyAlignment="1">
      <alignment horizontal="center" vertical="center" wrapText="1"/>
    </xf>
    <xf numFmtId="49" fontId="29" fillId="0" borderId="1" xfId="1" applyNumberFormat="1" applyFont="1" applyBorder="1" applyAlignment="1">
      <alignment horizontal="center" vertical="center" wrapText="1"/>
    </xf>
    <xf numFmtId="0" fontId="29" fillId="2" borderId="1" xfId="1" applyFont="1" applyFill="1" applyBorder="1" applyAlignment="1">
      <alignment horizontal="center" vertical="center"/>
    </xf>
    <xf numFmtId="171" fontId="24" fillId="4" borderId="1" xfId="1" applyNumberFormat="1" applyFont="1" applyFill="1" applyBorder="1" applyAlignment="1">
      <alignment horizontal="center" vertical="center"/>
    </xf>
    <xf numFmtId="0" fontId="29" fillId="0" borderId="1" xfId="1" applyFont="1" applyBorder="1" applyAlignment="1">
      <alignment horizontal="center" vertical="center" wrapText="1"/>
    </xf>
    <xf numFmtId="0" fontId="30" fillId="0" borderId="0" xfId="1" applyFont="1" applyBorder="1"/>
    <xf numFmtId="0" fontId="30" fillId="0" borderId="0" xfId="1" applyFont="1"/>
    <xf numFmtId="0" fontId="18" fillId="29" borderId="1" xfId="1" applyFont="1" applyFill="1" applyBorder="1" applyAlignment="1">
      <alignment vertical="center"/>
    </xf>
    <xf numFmtId="0" fontId="18" fillId="25" borderId="0" xfId="1" applyFont="1" applyFill="1" applyBorder="1"/>
    <xf numFmtId="0" fontId="18" fillId="25" borderId="0" xfId="1" applyFont="1" applyFill="1"/>
    <xf numFmtId="0" fontId="18" fillId="0" borderId="0" xfId="1" applyFont="1" applyBorder="1"/>
    <xf numFmtId="0" fontId="18" fillId="0" borderId="0" xfId="1" applyFont="1"/>
    <xf numFmtId="1" fontId="24" fillId="0" borderId="1" xfId="1" applyNumberFormat="1" applyFont="1" applyBorder="1" applyAlignment="1">
      <alignment horizontal="center" vertical="center"/>
    </xf>
    <xf numFmtId="172" fontId="24" fillId="0" borderId="1" xfId="1" applyNumberFormat="1" applyFont="1" applyBorder="1" applyAlignment="1">
      <alignment vertical="center"/>
    </xf>
    <xf numFmtId="172" fontId="24" fillId="0" borderId="1" xfId="1" applyNumberFormat="1" applyFont="1" applyBorder="1" applyAlignment="1">
      <alignment horizontal="right" vertical="center"/>
    </xf>
    <xf numFmtId="0" fontId="24" fillId="20" borderId="1" xfId="1" applyFont="1" applyFill="1" applyBorder="1" applyAlignment="1">
      <alignment horizontal="center" vertical="center"/>
    </xf>
    <xf numFmtId="1" fontId="29" fillId="20" borderId="1" xfId="1" applyNumberFormat="1" applyFont="1" applyFill="1" applyBorder="1" applyAlignment="1">
      <alignment horizontal="center" vertical="center"/>
    </xf>
    <xf numFmtId="164" fontId="24" fillId="20" borderId="1" xfId="1" applyNumberFormat="1" applyFont="1" applyFill="1" applyBorder="1" applyAlignment="1">
      <alignment horizontal="center" vertical="center"/>
    </xf>
    <xf numFmtId="172" fontId="29" fillId="20" borderId="1" xfId="1" applyNumberFormat="1" applyFont="1" applyFill="1" applyBorder="1" applyAlignment="1">
      <alignment vertical="center"/>
    </xf>
    <xf numFmtId="164" fontId="24" fillId="0" borderId="1" xfId="1" applyNumberFormat="1" applyFont="1" applyBorder="1" applyAlignment="1">
      <alignment horizontal="right" vertical="center"/>
    </xf>
    <xf numFmtId="1" fontId="29" fillId="0" borderId="1" xfId="1" applyNumberFormat="1" applyFont="1" applyBorder="1" applyAlignment="1">
      <alignment horizontal="center" vertical="center"/>
    </xf>
    <xf numFmtId="0" fontId="11" fillId="25" borderId="1" xfId="1" applyFill="1" applyBorder="1" applyAlignment="1">
      <alignment horizontal="center" vertical="center"/>
    </xf>
    <xf numFmtId="172" fontId="8" fillId="29" borderId="1" xfId="1" applyNumberFormat="1" applyFont="1" applyFill="1" applyBorder="1" applyAlignment="1">
      <alignment vertical="center"/>
    </xf>
    <xf numFmtId="167" fontId="24" fillId="0" borderId="1" xfId="1" applyNumberFormat="1" applyFont="1" applyBorder="1" applyAlignment="1">
      <alignment horizontal="right" vertical="center"/>
    </xf>
    <xf numFmtId="167" fontId="7" fillId="0" borderId="1" xfId="1" applyNumberFormat="1" applyFont="1" applyBorder="1" applyAlignment="1">
      <alignment horizontal="right" vertical="center" wrapText="1"/>
    </xf>
    <xf numFmtId="167" fontId="8" fillId="2" borderId="1" xfId="1" applyNumberFormat="1" applyFont="1" applyFill="1" applyBorder="1" applyAlignment="1">
      <alignment horizontal="right" vertical="center"/>
    </xf>
    <xf numFmtId="0" fontId="29" fillId="0" borderId="1" xfId="1" applyFont="1" applyBorder="1" applyAlignment="1">
      <alignment horizontal="center" vertical="center"/>
    </xf>
    <xf numFmtId="171" fontId="29" fillId="4" borderId="1" xfId="1" applyNumberFormat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1" fontId="29" fillId="2" borderId="1" xfId="1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24" fillId="13" borderId="1" xfId="1" applyFont="1" applyFill="1" applyBorder="1" applyAlignment="1">
      <alignment horizontal="center" vertical="center"/>
    </xf>
    <xf numFmtId="1" fontId="29" fillId="7" borderId="1" xfId="1" applyNumberFormat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30" fillId="0" borderId="1" xfId="1" applyFont="1" applyBorder="1" applyAlignment="1">
      <alignment vertical="center" wrapText="1"/>
    </xf>
    <xf numFmtId="0" fontId="30" fillId="0" borderId="1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/>
    </xf>
    <xf numFmtId="49" fontId="0" fillId="0" borderId="1" xfId="0" applyNumberFormat="1" applyBorder="1" applyAlignment="1">
      <alignment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172" fontId="24" fillId="0" borderId="1" xfId="1" applyNumberFormat="1" applyFont="1" applyBorder="1" applyAlignment="1">
      <alignment horizontal="right" vertical="center" wrapText="1"/>
    </xf>
    <xf numFmtId="49" fontId="24" fillId="0" borderId="1" xfId="0" applyNumberFormat="1" applyFont="1" applyBorder="1" applyAlignment="1">
      <alignment horizontal="left" vertical="center"/>
    </xf>
    <xf numFmtId="0" fontId="18" fillId="0" borderId="0" xfId="1" applyFont="1" applyBorder="1" applyAlignment="1">
      <alignment vertical="center"/>
    </xf>
    <xf numFmtId="0" fontId="18" fillId="0" borderId="0" xfId="1" applyFont="1" applyAlignment="1">
      <alignment vertical="center"/>
    </xf>
    <xf numFmtId="14" fontId="24" fillId="7" borderId="1" xfId="1" applyNumberFormat="1" applyFont="1" applyFill="1" applyBorder="1" applyAlignment="1">
      <alignment horizontal="center" vertical="center"/>
    </xf>
    <xf numFmtId="172" fontId="29" fillId="2" borderId="1" xfId="1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8" fillId="4" borderId="1" xfId="1" applyFont="1" applyFill="1" applyBorder="1" applyAlignment="1">
      <alignment horizontal="center" vertical="center"/>
    </xf>
    <xf numFmtId="170" fontId="24" fillId="4" borderId="1" xfId="1" applyNumberFormat="1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171" fontId="24" fillId="13" borderId="1" xfId="0" applyNumberFormat="1" applyFont="1" applyFill="1" applyBorder="1" applyAlignment="1">
      <alignment horizontal="center" vertical="center"/>
    </xf>
    <xf numFmtId="171" fontId="24" fillId="13" borderId="1" xfId="1" applyNumberFormat="1" applyFont="1" applyFill="1" applyBorder="1" applyAlignment="1">
      <alignment horizontal="center" vertical="center"/>
    </xf>
    <xf numFmtId="1" fontId="24" fillId="4" borderId="1" xfId="0" applyNumberFormat="1" applyFont="1" applyFill="1" applyBorder="1" applyAlignment="1">
      <alignment horizontal="center" vertical="center"/>
    </xf>
    <xf numFmtId="2" fontId="24" fillId="0" borderId="1" xfId="1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168" fontId="24" fillId="0" borderId="1" xfId="1" applyNumberFormat="1" applyFont="1" applyBorder="1" applyAlignment="1">
      <alignment horizontal="center" vertical="center"/>
    </xf>
    <xf numFmtId="171" fontId="24" fillId="0" borderId="1" xfId="1" applyNumberFormat="1" applyFont="1" applyBorder="1" applyAlignment="1">
      <alignment horizontal="center" vertical="center"/>
    </xf>
    <xf numFmtId="171" fontId="24" fillId="0" borderId="5" xfId="1" applyNumberFormat="1" applyFont="1" applyBorder="1" applyAlignment="1">
      <alignment horizontal="center" vertical="center"/>
    </xf>
    <xf numFmtId="171" fontId="24" fillId="0" borderId="8" xfId="1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2" fontId="24" fillId="0" borderId="13" xfId="1" applyNumberFormat="1" applyFont="1" applyBorder="1" applyAlignment="1">
      <alignment horizontal="center" vertical="center"/>
    </xf>
    <xf numFmtId="171" fontId="24" fillId="0" borderId="13" xfId="1" applyNumberFormat="1" applyFont="1" applyBorder="1" applyAlignment="1">
      <alignment horizontal="center" vertical="center"/>
    </xf>
    <xf numFmtId="0" fontId="24" fillId="13" borderId="6" xfId="1" applyFont="1" applyFill="1" applyBorder="1" applyAlignment="1">
      <alignment horizontal="center" vertical="center"/>
    </xf>
    <xf numFmtId="1" fontId="24" fillId="13" borderId="1" xfId="1" applyNumberFormat="1" applyFont="1" applyFill="1" applyBorder="1" applyAlignment="1">
      <alignment horizontal="center" vertical="center"/>
    </xf>
    <xf numFmtId="2" fontId="24" fillId="13" borderId="1" xfId="0" applyNumberFormat="1" applyFont="1" applyFill="1" applyBorder="1" applyAlignment="1">
      <alignment horizontal="center" vertical="center"/>
    </xf>
    <xf numFmtId="168" fontId="24" fillId="4" borderId="1" xfId="1" applyNumberFormat="1" applyFont="1" applyFill="1" applyBorder="1" applyAlignment="1">
      <alignment horizontal="center" vertical="center"/>
    </xf>
    <xf numFmtId="170" fontId="24" fillId="0" borderId="1" xfId="1" applyNumberFormat="1" applyFont="1" applyBorder="1" applyAlignment="1">
      <alignment horizontal="center" vertical="center"/>
    </xf>
    <xf numFmtId="171" fontId="24" fillId="0" borderId="1" xfId="1" applyNumberFormat="1" applyFont="1" applyBorder="1" applyAlignment="1">
      <alignment horizontal="center" vertical="center" wrapText="1"/>
    </xf>
    <xf numFmtId="170" fontId="24" fillId="0" borderId="1" xfId="1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3" borderId="1" xfId="1" applyFont="1" applyFill="1" applyBorder="1" applyAlignment="1">
      <alignment horizontal="center" vertical="center"/>
    </xf>
    <xf numFmtId="1" fontId="18" fillId="0" borderId="1" xfId="1" applyNumberFormat="1" applyFont="1" applyBorder="1" applyAlignment="1">
      <alignment horizontal="center" vertical="center"/>
    </xf>
    <xf numFmtId="171" fontId="18" fillId="0" borderId="1" xfId="1" applyNumberFormat="1" applyFont="1" applyBorder="1" applyAlignment="1">
      <alignment horizontal="center" vertical="center"/>
    </xf>
    <xf numFmtId="171" fontId="29" fillId="0" borderId="1" xfId="1" applyNumberFormat="1" applyFont="1" applyBorder="1" applyAlignment="1">
      <alignment horizontal="center" vertical="center"/>
    </xf>
    <xf numFmtId="171" fontId="29" fillId="13" borderId="1" xfId="1" applyNumberFormat="1" applyFont="1" applyFill="1" applyBorder="1" applyAlignment="1">
      <alignment horizontal="center" vertical="center"/>
    </xf>
    <xf numFmtId="168" fontId="29" fillId="0" borderId="1" xfId="1" applyNumberFormat="1" applyFont="1" applyBorder="1" applyAlignment="1">
      <alignment horizontal="center" vertical="center"/>
    </xf>
    <xf numFmtId="171" fontId="29" fillId="0" borderId="5" xfId="1" applyNumberFormat="1" applyFont="1" applyBorder="1" applyAlignment="1">
      <alignment horizontal="center" vertical="center"/>
    </xf>
    <xf numFmtId="171" fontId="29" fillId="0" borderId="8" xfId="1" applyNumberFormat="1" applyFont="1" applyBorder="1" applyAlignment="1">
      <alignment horizontal="center" vertical="center"/>
    </xf>
    <xf numFmtId="171" fontId="29" fillId="0" borderId="13" xfId="1" applyNumberFormat="1" applyFont="1" applyBorder="1" applyAlignment="1">
      <alignment horizontal="center" vertical="center"/>
    </xf>
    <xf numFmtId="171" fontId="29" fillId="0" borderId="6" xfId="1" applyNumberFormat="1" applyFont="1" applyBorder="1" applyAlignment="1">
      <alignment horizontal="center" vertical="center"/>
    </xf>
    <xf numFmtId="171" fontId="30" fillId="0" borderId="1" xfId="1" applyNumberFormat="1" applyFont="1" applyBorder="1" applyAlignment="1">
      <alignment horizontal="center" vertical="center"/>
    </xf>
    <xf numFmtId="1" fontId="29" fillId="4" borderId="1" xfId="1" applyNumberFormat="1" applyFont="1" applyFill="1" applyBorder="1" applyAlignment="1">
      <alignment horizontal="center" vertical="center"/>
    </xf>
    <xf numFmtId="168" fontId="29" fillId="4" borderId="1" xfId="1" applyNumberFormat="1" applyFont="1" applyFill="1" applyBorder="1" applyAlignment="1">
      <alignment horizontal="center" vertical="center"/>
    </xf>
    <xf numFmtId="170" fontId="29" fillId="0" borderId="1" xfId="1" applyNumberFormat="1" applyFont="1" applyBorder="1" applyAlignment="1">
      <alignment horizontal="center" vertical="center"/>
    </xf>
    <xf numFmtId="168" fontId="24" fillId="4" borderId="1" xfId="0" applyNumberFormat="1" applyFont="1" applyFill="1" applyBorder="1" applyAlignment="1">
      <alignment horizontal="center" vertical="center"/>
    </xf>
    <xf numFmtId="0" fontId="24" fillId="0" borderId="0" xfId="1" applyFont="1" applyBorder="1"/>
    <xf numFmtId="0" fontId="24" fillId="0" borderId="0" xfId="1" applyFont="1"/>
    <xf numFmtId="9" fontId="24" fillId="0" borderId="1" xfId="1" applyNumberFormat="1" applyFont="1" applyBorder="1" applyAlignment="1">
      <alignment horizontal="center" vertical="center"/>
    </xf>
    <xf numFmtId="0" fontId="24" fillId="7" borderId="1" xfId="1" applyFont="1" applyFill="1" applyBorder="1" applyAlignment="1">
      <alignment horizontal="center" vertical="center"/>
    </xf>
    <xf numFmtId="164" fontId="24" fillId="7" borderId="1" xfId="1" applyNumberFormat="1" applyFont="1" applyFill="1" applyBorder="1" applyAlignment="1">
      <alignment horizontal="right" vertical="center"/>
    </xf>
    <xf numFmtId="172" fontId="29" fillId="7" borderId="1" xfId="1" applyNumberFormat="1" applyFont="1" applyFill="1" applyBorder="1" applyAlignment="1">
      <alignment vertical="center"/>
    </xf>
    <xf numFmtId="0" fontId="24" fillId="13" borderId="1" xfId="1" applyFont="1" applyFill="1" applyBorder="1" applyAlignment="1">
      <alignment horizontal="center" vertical="center" wrapText="1"/>
    </xf>
    <xf numFmtId="164" fontId="24" fillId="13" borderId="1" xfId="1" applyNumberFormat="1" applyFont="1" applyFill="1" applyBorder="1" applyAlignment="1">
      <alignment horizontal="right" vertical="center"/>
    </xf>
    <xf numFmtId="172" fontId="24" fillId="13" borderId="1" xfId="1" applyNumberFormat="1" applyFont="1" applyFill="1" applyBorder="1" applyAlignment="1">
      <alignment horizontal="right" vertical="center" wrapText="1"/>
    </xf>
    <xf numFmtId="0" fontId="24" fillId="13" borderId="0" xfId="1" applyFont="1" applyFill="1" applyBorder="1"/>
    <xf numFmtId="0" fontId="24" fillId="13" borderId="0" xfId="1" applyFont="1" applyFill="1"/>
    <xf numFmtId="171" fontId="29" fillId="5" borderId="1" xfId="1" applyNumberFormat="1" applyFont="1" applyFill="1" applyBorder="1" applyAlignment="1">
      <alignment horizontal="center" vertical="center"/>
    </xf>
    <xf numFmtId="0" fontId="18" fillId="0" borderId="0" xfId="7" applyFont="1" applyAlignment="1">
      <alignment horizontal="right"/>
    </xf>
    <xf numFmtId="0" fontId="30" fillId="28" borderId="1" xfId="1" applyFont="1" applyFill="1" applyBorder="1" applyAlignment="1">
      <alignment vertical="center"/>
    </xf>
    <xf numFmtId="172" fontId="29" fillId="28" borderId="1" xfId="1" applyNumberFormat="1" applyFont="1" applyFill="1" applyBorder="1" applyAlignment="1">
      <alignment vertical="center"/>
    </xf>
    <xf numFmtId="0" fontId="4" fillId="16" borderId="3" xfId="1" applyFont="1" applyFill="1" applyBorder="1" applyAlignment="1">
      <alignment vertical="center"/>
    </xf>
    <xf numFmtId="0" fontId="4" fillId="16" borderId="4" xfId="1" applyFont="1" applyFill="1" applyBorder="1" applyAlignment="1">
      <alignment vertical="center"/>
    </xf>
    <xf numFmtId="0" fontId="22" fillId="16" borderId="4" xfId="1" applyFont="1" applyFill="1" applyBorder="1" applyAlignment="1">
      <alignment vertical="center"/>
    </xf>
    <xf numFmtId="164" fontId="4" fillId="16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  <xf numFmtId="164" fontId="3" fillId="0" borderId="0" xfId="7" applyNumberFormat="1" applyFont="1"/>
    <xf numFmtId="164" fontId="3" fillId="0" borderId="0" xfId="1" applyNumberFormat="1" applyFont="1"/>
    <xf numFmtId="164" fontId="3" fillId="0" borderId="0" xfId="1" applyNumberFormat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172" fontId="4" fillId="18" borderId="1" xfId="7" applyNumberFormat="1" applyFont="1" applyFill="1" applyBorder="1" applyAlignment="1">
      <alignment horizontal="right" vertical="center"/>
    </xf>
    <xf numFmtId="0" fontId="11" fillId="10" borderId="1" xfId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29" fillId="10" borderId="1" xfId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11" fillId="0" borderId="1" xfId="1" applyBorder="1" applyAlignment="1">
      <alignment vertical="center"/>
    </xf>
    <xf numFmtId="0" fontId="7" fillId="0" borderId="1" xfId="1" applyFont="1" applyBorder="1" applyAlignment="1">
      <alignment vertical="center" wrapText="1"/>
    </xf>
    <xf numFmtId="0" fontId="24" fillId="0" borderId="1" xfId="1" applyFont="1" applyBorder="1" applyAlignment="1">
      <alignment vertical="center"/>
    </xf>
    <xf numFmtId="0" fontId="29" fillId="0" borderId="1" xfId="1" applyFont="1" applyBorder="1" applyAlignment="1">
      <alignment horizontal="left" vertical="center"/>
    </xf>
    <xf numFmtId="0" fontId="29" fillId="0" borderId="1" xfId="1" applyFont="1" applyBorder="1" applyAlignment="1">
      <alignment vertical="center"/>
    </xf>
    <xf numFmtId="0" fontId="24" fillId="0" borderId="1" xfId="1" applyFont="1" applyBorder="1" applyAlignment="1">
      <alignment horizontal="left" vertical="center"/>
    </xf>
    <xf numFmtId="0" fontId="29" fillId="20" borderId="1" xfId="1" applyFont="1" applyFill="1" applyBorder="1" applyAlignment="1">
      <alignment vertical="center"/>
    </xf>
    <xf numFmtId="0" fontId="0" fillId="0" borderId="3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/>
    </xf>
    <xf numFmtId="0" fontId="4" fillId="18" borderId="3" xfId="7" applyFont="1" applyFill="1" applyBorder="1" applyAlignment="1">
      <alignment horizontal="left" vertical="center"/>
    </xf>
    <xf numFmtId="0" fontId="4" fillId="18" borderId="4" xfId="7" applyFont="1" applyFill="1" applyBorder="1" applyAlignment="1">
      <alignment horizontal="left" vertical="center"/>
    </xf>
    <xf numFmtId="0" fontId="4" fillId="18" borderId="2" xfId="7" applyFont="1" applyFill="1" applyBorder="1" applyAlignment="1">
      <alignment horizontal="left" vertical="center"/>
    </xf>
    <xf numFmtId="0" fontId="4" fillId="0" borderId="3" xfId="7" applyFont="1" applyBorder="1" applyAlignment="1">
      <alignment horizontal="left" vertical="center"/>
    </xf>
    <xf numFmtId="0" fontId="4" fillId="0" borderId="4" xfId="7" applyFont="1" applyBorder="1" applyAlignment="1">
      <alignment horizontal="left" vertical="center"/>
    </xf>
    <xf numFmtId="0" fontId="4" fillId="0" borderId="2" xfId="7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172" fontId="6" fillId="0" borderId="1" xfId="1" applyNumberFormat="1" applyFont="1" applyBorder="1" applyAlignment="1">
      <alignment horizontal="center" vertical="center" wrapText="1"/>
    </xf>
    <xf numFmtId="0" fontId="11" fillId="0" borderId="1" xfId="1" applyBorder="1" applyAlignment="1">
      <alignment horizontal="left" vertical="center"/>
    </xf>
    <xf numFmtId="0" fontId="11" fillId="4" borderId="1" xfId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vertical="center"/>
    </xf>
    <xf numFmtId="0" fontId="0" fillId="4" borderId="1" xfId="1" applyFont="1" applyFill="1" applyBorder="1" applyAlignment="1">
      <alignment horizontal="left" vertical="center" wrapText="1"/>
    </xf>
    <xf numFmtId="0" fontId="0" fillId="0" borderId="1" xfId="6" applyFont="1" applyBorder="1" applyAlignment="1">
      <alignment horizontal="left" vertical="center"/>
    </xf>
    <xf numFmtId="0" fontId="11" fillId="0" borderId="3" xfId="1" applyBorder="1" applyAlignment="1">
      <alignment vertical="center"/>
    </xf>
    <xf numFmtId="0" fontId="11" fillId="0" borderId="2" xfId="1" applyBorder="1" applyAlignment="1">
      <alignment vertical="center"/>
    </xf>
    <xf numFmtId="0" fontId="8" fillId="4" borderId="1" xfId="0" applyFont="1" applyFill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 wrapText="1"/>
    </xf>
    <xf numFmtId="0" fontId="0" fillId="0" borderId="1" xfId="1" applyFont="1" applyBorder="1" applyAlignment="1">
      <alignment vertical="center" wrapText="1"/>
    </xf>
    <xf numFmtId="0" fontId="11" fillId="0" borderId="1" xfId="1" applyBorder="1" applyAlignment="1">
      <alignment vertical="center" wrapText="1"/>
    </xf>
    <xf numFmtId="0" fontId="3" fillId="4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vertical="center"/>
    </xf>
    <xf numFmtId="0" fontId="30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0" fillId="0" borderId="1" xfId="1" applyFont="1" applyBorder="1" applyAlignment="1">
      <alignment horizontal="left" vertical="center"/>
    </xf>
    <xf numFmtId="0" fontId="0" fillId="0" borderId="1" xfId="1" applyFont="1" applyBorder="1" applyAlignment="1">
      <alignment vertical="center"/>
    </xf>
    <xf numFmtId="0" fontId="8" fillId="26" borderId="3" xfId="1" applyFont="1" applyFill="1" applyBorder="1" applyAlignment="1">
      <alignment horizontal="left" vertical="center"/>
    </xf>
    <xf numFmtId="0" fontId="8" fillId="26" borderId="4" xfId="1" applyFont="1" applyFill="1" applyBorder="1" applyAlignment="1">
      <alignment horizontal="left" vertical="center"/>
    </xf>
    <xf numFmtId="0" fontId="8" fillId="26" borderId="2" xfId="1" applyFont="1" applyFill="1" applyBorder="1" applyAlignment="1">
      <alignment horizontal="left" vertical="center"/>
    </xf>
    <xf numFmtId="0" fontId="8" fillId="29" borderId="1" xfId="1" applyFont="1" applyFill="1" applyBorder="1" applyAlignment="1">
      <alignment horizontal="left" vertical="center"/>
    </xf>
    <xf numFmtId="0" fontId="4" fillId="0" borderId="0" xfId="7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7" applyFont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4" fontId="0" fillId="13" borderId="1" xfId="0" applyNumberFormat="1" applyFill="1" applyBorder="1" applyAlignment="1">
      <alignment vertical="center"/>
    </xf>
    <xf numFmtId="0" fontId="0" fillId="13" borderId="1" xfId="0" applyFill="1" applyBorder="1" applyAlignment="1">
      <alignment vertical="center"/>
    </xf>
    <xf numFmtId="0" fontId="11" fillId="13" borderId="1" xfId="0" applyFont="1" applyFill="1" applyBorder="1" applyAlignment="1">
      <alignment vertical="center"/>
    </xf>
    <xf numFmtId="0" fontId="8" fillId="6" borderId="1" xfId="1" applyFont="1" applyFill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0" fillId="13" borderId="1" xfId="1" applyFont="1" applyFill="1" applyBorder="1" applyAlignment="1">
      <alignment horizontal="left" vertical="center"/>
    </xf>
    <xf numFmtId="0" fontId="11" fillId="13" borderId="1" xfId="1" applyFill="1" applyBorder="1" applyAlignment="1">
      <alignment horizontal="left" vertical="center"/>
    </xf>
    <xf numFmtId="0" fontId="29" fillId="29" borderId="1" xfId="1" applyFont="1" applyFill="1" applyBorder="1" applyAlignment="1">
      <alignment horizontal="left" vertical="center"/>
    </xf>
    <xf numFmtId="0" fontId="0" fillId="13" borderId="1" xfId="1" applyFont="1" applyFill="1" applyBorder="1" applyAlignment="1">
      <alignment vertical="center" wrapText="1"/>
    </xf>
    <xf numFmtId="0" fontId="11" fillId="13" borderId="1" xfId="1" applyFill="1" applyBorder="1" applyAlignment="1">
      <alignment vertical="center" wrapText="1"/>
    </xf>
    <xf numFmtId="0" fontId="8" fillId="7" borderId="1" xfId="0" applyFont="1" applyFill="1" applyBorder="1" applyAlignment="1">
      <alignment horizontal="left" vertical="center"/>
    </xf>
    <xf numFmtId="0" fontId="11" fillId="0" borderId="1" xfId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30" fillId="28" borderId="1" xfId="1" applyFont="1" applyFill="1" applyBorder="1" applyAlignment="1">
      <alignment horizontal="left" vertical="center"/>
    </xf>
    <xf numFmtId="0" fontId="15" fillId="0" borderId="1" xfId="1" applyFont="1" applyBorder="1" applyAlignment="1">
      <alignment horizontal="left" vertical="center" wrapText="1"/>
    </xf>
    <xf numFmtId="0" fontId="0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vertical="center"/>
    </xf>
    <xf numFmtId="0" fontId="8" fillId="3" borderId="1" xfId="1" applyFont="1" applyFill="1" applyBorder="1" applyAlignment="1">
      <alignment vertical="center"/>
    </xf>
    <xf numFmtId="0" fontId="8" fillId="3" borderId="1" xfId="1" applyFont="1" applyFill="1" applyBorder="1" applyAlignment="1">
      <alignment vertical="center" wrapText="1"/>
    </xf>
    <xf numFmtId="0" fontId="24" fillId="13" borderId="3" xfId="1" applyFont="1" applyFill="1" applyBorder="1" applyAlignment="1">
      <alignment horizontal="left" vertical="center" wrapText="1"/>
    </xf>
    <xf numFmtId="0" fontId="24" fillId="13" borderId="2" xfId="1" applyFont="1" applyFill="1" applyBorder="1" applyAlignment="1">
      <alignment horizontal="left" vertical="center" wrapText="1"/>
    </xf>
    <xf numFmtId="0" fontId="29" fillId="4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15" fillId="0" borderId="1" xfId="1" applyFont="1" applyBorder="1" applyAlignment="1">
      <alignment vertical="center" wrapText="1"/>
    </xf>
    <xf numFmtId="0" fontId="24" fillId="0" borderId="1" xfId="1" applyFont="1" applyBorder="1" applyAlignment="1">
      <alignment vertical="center" wrapText="1"/>
    </xf>
    <xf numFmtId="0" fontId="8" fillId="14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71" fontId="24" fillId="13" borderId="3" xfId="1" applyNumberFormat="1" applyFont="1" applyFill="1" applyBorder="1" applyAlignment="1">
      <alignment horizontal="center" vertical="center"/>
    </xf>
    <xf numFmtId="171" fontId="24" fillId="13" borderId="4" xfId="1" applyNumberFormat="1" applyFont="1" applyFill="1" applyBorder="1" applyAlignment="1">
      <alignment horizontal="center" vertical="center"/>
    </xf>
    <xf numFmtId="171" fontId="24" fillId="13" borderId="2" xfId="1" applyNumberFormat="1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left" vertical="center"/>
    </xf>
    <xf numFmtId="0" fontId="8" fillId="7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0" fillId="0" borderId="3" xfId="1" applyFont="1" applyBorder="1" applyAlignment="1">
      <alignment vertical="center" wrapText="1"/>
    </xf>
    <xf numFmtId="0" fontId="0" fillId="0" borderId="2" xfId="1" applyFont="1" applyBorder="1" applyAlignment="1">
      <alignment vertical="center" wrapText="1"/>
    </xf>
    <xf numFmtId="0" fontId="15" fillId="0" borderId="8" xfId="1" applyFont="1" applyBorder="1" applyAlignment="1">
      <alignment vertical="center"/>
    </xf>
    <xf numFmtId="0" fontId="11" fillId="0" borderId="15" xfId="1" applyBorder="1" applyAlignment="1">
      <alignment vertical="center" wrapText="1"/>
    </xf>
    <xf numFmtId="0" fontId="11" fillId="0" borderId="16" xfId="1" applyBorder="1" applyAlignment="1">
      <alignment vertical="center" wrapText="1"/>
    </xf>
    <xf numFmtId="0" fontId="15" fillId="0" borderId="1" xfId="1" applyFont="1" applyBorder="1" applyAlignment="1">
      <alignment vertical="center"/>
    </xf>
    <xf numFmtId="0" fontId="11" fillId="13" borderId="1" xfId="0" applyFont="1" applyFill="1" applyBorder="1" applyAlignment="1">
      <alignment vertical="center" wrapText="1"/>
    </xf>
    <xf numFmtId="0" fontId="8" fillId="6" borderId="1" xfId="1" applyFont="1" applyFill="1" applyBorder="1" applyAlignment="1">
      <alignment vertical="center"/>
    </xf>
    <xf numFmtId="4" fontId="11" fillId="13" borderId="1" xfId="0" applyNumberFormat="1" applyFont="1" applyFill="1" applyBorder="1" applyAlignment="1">
      <alignment vertical="center"/>
    </xf>
    <xf numFmtId="0" fontId="29" fillId="20" borderId="1" xfId="1" applyFont="1" applyFill="1" applyBorder="1" applyAlignment="1">
      <alignment horizontal="left" vertical="center"/>
    </xf>
    <xf numFmtId="0" fontId="8" fillId="24" borderId="1" xfId="1" applyFont="1" applyFill="1" applyBorder="1" applyAlignment="1">
      <alignment vertical="center"/>
    </xf>
    <xf numFmtId="1" fontId="24" fillId="0" borderId="3" xfId="1" applyNumberFormat="1" applyFont="1" applyBorder="1" applyAlignment="1">
      <alignment horizontal="center" vertical="center"/>
    </xf>
    <xf numFmtId="1" fontId="24" fillId="0" borderId="4" xfId="1" applyNumberFormat="1" applyFont="1" applyBorder="1" applyAlignment="1">
      <alignment horizontal="center" vertical="center"/>
    </xf>
    <xf numFmtId="1" fontId="24" fillId="0" borderId="2" xfId="1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vertical="center"/>
    </xf>
    <xf numFmtId="0" fontId="8" fillId="5" borderId="1" xfId="1" applyFont="1" applyFill="1" applyBorder="1" applyAlignment="1">
      <alignment vertical="center"/>
    </xf>
    <xf numFmtId="0" fontId="6" fillId="12" borderId="1" xfId="1" applyFont="1" applyFill="1" applyBorder="1" applyAlignment="1">
      <alignment horizontal="left" vertical="center"/>
    </xf>
    <xf numFmtId="0" fontId="6" fillId="27" borderId="1" xfId="1" applyFont="1" applyFill="1" applyBorder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29" fillId="2" borderId="1" xfId="1" applyFont="1" applyFill="1" applyBorder="1" applyAlignment="1">
      <alignment vertical="center"/>
    </xf>
    <xf numFmtId="0" fontId="4" fillId="12" borderId="1" xfId="1" applyFont="1" applyFill="1" applyBorder="1" applyAlignment="1">
      <alignment vertical="center"/>
    </xf>
    <xf numFmtId="0" fontId="8" fillId="5" borderId="1" xfId="1" applyFont="1" applyFill="1" applyBorder="1" applyAlignment="1">
      <alignment horizontal="left" vertical="center"/>
    </xf>
    <xf numFmtId="0" fontId="29" fillId="7" borderId="1" xfId="0" applyFont="1" applyFill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8" fillId="0" borderId="4" xfId="1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/>
    </xf>
    <xf numFmtId="0" fontId="0" fillId="0" borderId="3" xfId="1" applyFont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0" borderId="2" xfId="1" applyFont="1" applyBorder="1" applyAlignment="1">
      <alignment vertical="center"/>
    </xf>
    <xf numFmtId="4" fontId="11" fillId="4" borderId="3" xfId="0" applyNumberFormat="1" applyFont="1" applyFill="1" applyBorder="1" applyAlignment="1">
      <alignment vertical="center" wrapText="1"/>
    </xf>
    <xf numFmtId="4" fontId="11" fillId="4" borderId="2" xfId="0" applyNumberFormat="1" applyFont="1" applyFill="1" applyBorder="1" applyAlignment="1">
      <alignment vertical="center" wrapText="1"/>
    </xf>
    <xf numFmtId="0" fontId="8" fillId="19" borderId="1" xfId="1" applyFont="1" applyFill="1" applyBorder="1" applyAlignment="1">
      <alignment horizontal="left" vertical="center"/>
    </xf>
    <xf numFmtId="0" fontId="15" fillId="0" borderId="5" xfId="1" applyFont="1" applyBorder="1" applyAlignment="1">
      <alignment horizontal="left" vertical="center" wrapText="1"/>
    </xf>
    <xf numFmtId="0" fontId="11" fillId="4" borderId="1" xfId="1" applyFill="1" applyBorder="1" applyAlignment="1">
      <alignment vertical="center" wrapText="1"/>
    </xf>
    <xf numFmtId="0" fontId="15" fillId="0" borderId="13" xfId="1" applyFont="1" applyBorder="1" applyAlignment="1">
      <alignment vertical="center"/>
    </xf>
    <xf numFmtId="0" fontId="11" fillId="0" borderId="8" xfId="1" applyBorder="1" applyAlignment="1">
      <alignment vertical="center"/>
    </xf>
    <xf numFmtId="0" fontId="9" fillId="2" borderId="1" xfId="1" applyFont="1" applyFill="1" applyBorder="1" applyAlignment="1">
      <alignment horizontal="left" vertical="center"/>
    </xf>
    <xf numFmtId="0" fontId="9" fillId="31" borderId="1" xfId="1" applyFont="1" applyFill="1" applyBorder="1" applyAlignment="1">
      <alignment horizontal="left" vertical="center"/>
    </xf>
    <xf numFmtId="0" fontId="0" fillId="4" borderId="1" xfId="1" applyFont="1" applyFill="1" applyBorder="1" applyAlignment="1">
      <alignment vertical="center" wrapText="1"/>
    </xf>
  </cellXfs>
  <cellStyles count="8">
    <cellStyle name="Excel Built-in Normal" xfId="1"/>
    <cellStyle name="Normal 3" xfId="7"/>
    <cellStyle name="Normální" xfId="0" builtinId="0"/>
    <cellStyle name="Normální 10" xfId="2"/>
    <cellStyle name="Normální 10 2" xfId="4"/>
    <cellStyle name="Normální 2" xfId="3"/>
    <cellStyle name="Normální 2 2" xfId="5"/>
    <cellStyle name="Vysvětlující text" xfId="6" builtinId="5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15"/>
  <sheetViews>
    <sheetView tabSelected="1" view="pageBreakPreview" topLeftCell="A31" zoomScale="75" zoomScaleNormal="75" zoomScaleSheetLayoutView="75" workbookViewId="0">
      <selection activeCell="B365" sqref="B365:K365"/>
    </sheetView>
  </sheetViews>
  <sheetFormatPr defaultColWidth="9.140625" defaultRowHeight="14.25" x14ac:dyDescent="0.2"/>
  <cols>
    <col min="1" max="1" width="14.140625" style="3" customWidth="1"/>
    <col min="2" max="2" width="47.140625" style="1" customWidth="1"/>
    <col min="3" max="3" width="52.28515625" style="1" customWidth="1"/>
    <col min="4" max="4" width="12.28515625" style="18" customWidth="1"/>
    <col min="5" max="5" width="11" style="218" customWidth="1"/>
    <col min="6" max="6" width="13.140625" style="218" customWidth="1"/>
    <col min="7" max="7" width="12.5703125" style="218" customWidth="1"/>
    <col min="8" max="9" width="11" style="218" customWidth="1"/>
    <col min="10" max="10" width="14.28515625" style="240" customWidth="1"/>
    <col min="11" max="11" width="19.140625" style="4" customWidth="1"/>
    <col min="12" max="12" width="21.28515625" style="75" customWidth="1"/>
    <col min="13" max="13" width="25.28515625" style="127" customWidth="1"/>
    <col min="14" max="36" width="9.140625" style="127"/>
    <col min="37" max="16384" width="9.140625" style="2"/>
  </cols>
  <sheetData>
    <row r="1" spans="1:36" s="173" customFormat="1" ht="24.95" customHeight="1" x14ac:dyDescent="0.2">
      <c r="A1" s="170"/>
      <c r="B1" s="171"/>
      <c r="C1" s="171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36" s="173" customFormat="1" ht="24.95" customHeight="1" x14ac:dyDescent="0.2">
      <c r="A2" s="170"/>
      <c r="B2" s="171"/>
      <c r="C2" s="171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36" ht="24.95" customHeight="1" x14ac:dyDescent="0.25">
      <c r="A3" s="174"/>
      <c r="B3" s="175" t="s">
        <v>384</v>
      </c>
      <c r="C3" s="414" t="s">
        <v>403</v>
      </c>
      <c r="D3" s="414"/>
      <c r="E3" s="414"/>
      <c r="F3" s="414"/>
      <c r="G3" s="414"/>
      <c r="H3" s="414"/>
      <c r="I3" s="214"/>
      <c r="J3" s="214"/>
      <c r="K3" s="176"/>
      <c r="L3" s="176"/>
      <c r="M3" s="17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24.95" customHeight="1" x14ac:dyDescent="0.2">
      <c r="A4" s="174"/>
      <c r="B4" s="177"/>
      <c r="C4" s="415"/>
      <c r="D4" s="415"/>
      <c r="E4" s="415"/>
      <c r="F4" s="415"/>
      <c r="G4" s="415"/>
      <c r="H4" s="415"/>
      <c r="I4" s="215"/>
      <c r="J4" s="215"/>
      <c r="K4" s="178"/>
      <c r="L4" s="178"/>
      <c r="M4" s="178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24.95" customHeight="1" x14ac:dyDescent="0.25">
      <c r="A5" s="174"/>
      <c r="B5" s="175" t="s">
        <v>385</v>
      </c>
      <c r="C5" s="416" t="s">
        <v>404</v>
      </c>
      <c r="D5" s="416"/>
      <c r="E5" s="416"/>
      <c r="F5" s="416"/>
      <c r="G5" s="416"/>
      <c r="H5" s="416"/>
      <c r="I5" s="214"/>
      <c r="J5" s="214"/>
      <c r="K5" s="176"/>
      <c r="L5" s="176"/>
      <c r="M5" s="17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4.95" customHeight="1" x14ac:dyDescent="0.2">
      <c r="A6" s="174"/>
      <c r="B6" s="177"/>
      <c r="C6" s="177"/>
      <c r="D6" s="178"/>
      <c r="E6" s="215"/>
      <c r="F6" s="215"/>
      <c r="G6" s="215"/>
      <c r="H6" s="215"/>
      <c r="I6" s="215"/>
      <c r="J6" s="215"/>
      <c r="K6" s="178"/>
      <c r="L6" s="178"/>
      <c r="M6" s="178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24.95" customHeight="1" x14ac:dyDescent="0.25">
      <c r="A7" s="174"/>
      <c r="B7" s="175" t="s">
        <v>386</v>
      </c>
      <c r="C7" s="416" t="s">
        <v>405</v>
      </c>
      <c r="D7" s="416"/>
      <c r="E7" s="416"/>
      <c r="F7" s="216"/>
      <c r="G7" s="216"/>
      <c r="H7" s="216"/>
      <c r="I7" s="356" t="s">
        <v>387</v>
      </c>
      <c r="J7" s="217"/>
      <c r="K7" s="179"/>
      <c r="L7" s="180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24.95" customHeight="1" x14ac:dyDescent="0.2">
      <c r="A8" s="174"/>
      <c r="B8" s="181"/>
      <c r="C8" s="416" t="s">
        <v>406</v>
      </c>
      <c r="D8" s="416"/>
      <c r="E8" s="416"/>
      <c r="F8" s="216"/>
      <c r="G8" s="216"/>
      <c r="H8" s="216"/>
      <c r="I8" s="216"/>
      <c r="J8" s="218"/>
      <c r="K8" s="176"/>
      <c r="L8" s="176"/>
      <c r="M8" s="176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24.95" customHeight="1" x14ac:dyDescent="0.2">
      <c r="A9" s="174"/>
      <c r="B9" s="181"/>
      <c r="C9" s="416" t="s">
        <v>407</v>
      </c>
      <c r="D9" s="416"/>
      <c r="E9" s="416"/>
      <c r="F9" s="214"/>
      <c r="G9" s="214"/>
      <c r="H9" s="214"/>
      <c r="I9" s="214"/>
      <c r="J9" s="214"/>
      <c r="K9" s="176"/>
      <c r="L9" s="176"/>
      <c r="M9" s="17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24.95" customHeight="1" x14ac:dyDescent="0.2">
      <c r="A10" s="174"/>
      <c r="B10" s="181"/>
      <c r="C10" s="181"/>
      <c r="D10" s="176"/>
      <c r="E10" s="214"/>
      <c r="F10" s="214"/>
      <c r="G10" s="214"/>
      <c r="H10" s="214"/>
      <c r="I10" s="214"/>
      <c r="J10" s="214"/>
      <c r="K10" s="176"/>
      <c r="L10" s="176"/>
      <c r="M10" s="176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24.95" customHeight="1" x14ac:dyDescent="0.2">
      <c r="A11" s="174"/>
      <c r="B11" s="177"/>
      <c r="C11" s="177"/>
      <c r="D11" s="178"/>
      <c r="E11" s="215"/>
      <c r="F11" s="215"/>
      <c r="G11" s="215"/>
      <c r="H11" s="215"/>
      <c r="I11" s="215"/>
      <c r="J11" s="215"/>
      <c r="K11" s="178"/>
      <c r="L11" s="178"/>
      <c r="M11" s="17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24.95" customHeight="1" x14ac:dyDescent="0.25">
      <c r="A12" s="174"/>
      <c r="B12" s="175" t="s">
        <v>388</v>
      </c>
      <c r="C12" s="181"/>
      <c r="D12" s="176"/>
      <c r="E12" s="214"/>
      <c r="F12" s="214"/>
      <c r="G12" s="214"/>
      <c r="H12" s="214"/>
      <c r="I12" s="214"/>
      <c r="J12" s="214"/>
      <c r="K12" s="176"/>
      <c r="L12" s="176"/>
      <c r="M12" s="176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24.95" customHeight="1" x14ac:dyDescent="0.2">
      <c r="A13" s="174"/>
      <c r="B13" s="177"/>
      <c r="C13" s="177"/>
      <c r="D13" s="178"/>
      <c r="E13" s="215"/>
      <c r="F13" s="215"/>
      <c r="G13" s="215"/>
      <c r="H13" s="215"/>
      <c r="I13" s="215"/>
      <c r="J13" s="215"/>
      <c r="K13" s="178"/>
      <c r="L13" s="178"/>
      <c r="M13" s="178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24.95" customHeight="1" x14ac:dyDescent="0.2">
      <c r="A14" s="174"/>
      <c r="B14" s="177"/>
      <c r="C14" s="177"/>
      <c r="D14" s="178"/>
      <c r="E14" s="215"/>
      <c r="F14" s="215"/>
      <c r="G14" s="215"/>
      <c r="H14" s="215"/>
      <c r="I14" s="215"/>
      <c r="J14" s="215"/>
      <c r="K14" s="178"/>
      <c r="L14" s="178"/>
      <c r="M14" s="178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24.95" customHeight="1" x14ac:dyDescent="0.2">
      <c r="A15" s="174"/>
      <c r="B15" s="177"/>
      <c r="C15" s="177"/>
      <c r="D15" s="178"/>
      <c r="E15" s="215"/>
      <c r="F15" s="215"/>
      <c r="G15" s="215"/>
      <c r="H15" s="215"/>
      <c r="I15" s="215"/>
      <c r="J15" s="215"/>
      <c r="K15" s="178"/>
      <c r="L15" s="178"/>
      <c r="M15" s="178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ht="24.95" customHeight="1" x14ac:dyDescent="0.2">
      <c r="A16" s="174"/>
      <c r="B16" s="177"/>
      <c r="C16" s="177"/>
      <c r="D16" s="178"/>
      <c r="E16" s="215"/>
      <c r="F16" s="215"/>
      <c r="G16" s="215"/>
      <c r="H16" s="215"/>
      <c r="I16" s="215"/>
      <c r="J16" s="215"/>
      <c r="K16" s="178"/>
      <c r="L16" s="178"/>
      <c r="M16" s="178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24.95" customHeight="1" x14ac:dyDescent="0.2">
      <c r="A17" s="174"/>
      <c r="B17" s="177"/>
      <c r="C17" s="177"/>
      <c r="D17" s="178"/>
      <c r="E17" s="215"/>
      <c r="F17" s="215"/>
      <c r="G17" s="215"/>
      <c r="H17" s="215"/>
      <c r="I17" s="215"/>
      <c r="J17" s="215"/>
      <c r="K17" s="178"/>
      <c r="L17" s="178"/>
      <c r="M17" s="178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ht="24.95" customHeight="1" x14ac:dyDescent="0.25">
      <c r="A18" s="174"/>
      <c r="B18" s="175" t="s">
        <v>389</v>
      </c>
      <c r="C18" s="181" t="s">
        <v>390</v>
      </c>
      <c r="D18" s="176"/>
      <c r="E18" s="214"/>
      <c r="F18" s="214"/>
      <c r="G18" s="214"/>
      <c r="H18" s="214"/>
      <c r="I18" s="214"/>
      <c r="J18" s="214"/>
      <c r="K18" s="176"/>
      <c r="L18" s="176"/>
      <c r="M18" s="176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ht="24.95" customHeight="1" x14ac:dyDescent="0.2">
      <c r="A19" s="174"/>
      <c r="B19" s="181"/>
      <c r="C19" s="181" t="s">
        <v>391</v>
      </c>
      <c r="D19" s="176"/>
      <c r="E19" s="214"/>
      <c r="F19" s="214"/>
      <c r="G19" s="214"/>
      <c r="H19" s="214"/>
      <c r="I19" s="214"/>
      <c r="J19" s="214"/>
      <c r="K19" s="176"/>
      <c r="L19" s="176"/>
      <c r="M19" s="176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ht="24.95" customHeight="1" x14ac:dyDescent="0.2">
      <c r="A20" s="174"/>
      <c r="B20" s="181"/>
      <c r="C20" s="181" t="s">
        <v>392</v>
      </c>
      <c r="D20" s="176"/>
      <c r="E20" s="214"/>
      <c r="F20" s="214"/>
      <c r="G20" s="214"/>
      <c r="H20" s="214"/>
      <c r="I20" s="214"/>
      <c r="J20" s="214"/>
      <c r="K20" s="176"/>
      <c r="L20" s="176"/>
      <c r="M20" s="176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ht="24.95" customHeight="1" x14ac:dyDescent="0.2">
      <c r="A21" s="174"/>
      <c r="B21" s="181"/>
      <c r="C21" s="181" t="s">
        <v>393</v>
      </c>
      <c r="D21" s="176"/>
      <c r="E21" s="214"/>
      <c r="F21" s="214"/>
      <c r="G21" s="214"/>
      <c r="H21" s="214"/>
      <c r="I21" s="214"/>
      <c r="J21" s="214"/>
      <c r="K21" s="176"/>
      <c r="L21" s="176"/>
      <c r="M21" s="176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ht="24.95" customHeight="1" x14ac:dyDescent="0.2">
      <c r="A22" s="174"/>
      <c r="B22" s="181"/>
      <c r="C22" s="181" t="s">
        <v>394</v>
      </c>
      <c r="D22" s="176"/>
      <c r="E22" s="214"/>
      <c r="F22" s="214"/>
      <c r="G22" s="214"/>
      <c r="H22" s="214"/>
      <c r="I22" s="214"/>
      <c r="J22" s="214"/>
      <c r="K22" s="176"/>
      <c r="L22" s="176"/>
      <c r="M22" s="176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ht="24.95" customHeight="1" x14ac:dyDescent="0.2">
      <c r="A23" s="174"/>
      <c r="B23" s="177"/>
      <c r="C23" s="177"/>
      <c r="D23" s="178"/>
      <c r="E23" s="215"/>
      <c r="F23" s="215"/>
      <c r="G23" s="215"/>
      <c r="H23" s="215"/>
      <c r="I23" s="215"/>
      <c r="J23" s="215"/>
      <c r="K23" s="178"/>
      <c r="L23" s="178"/>
      <c r="M23" s="178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ht="24.95" customHeight="1" x14ac:dyDescent="0.25">
      <c r="A24" s="174"/>
      <c r="B24" s="175" t="s">
        <v>395</v>
      </c>
      <c r="C24" s="181"/>
      <c r="D24" s="178"/>
      <c r="E24" s="215"/>
      <c r="F24" s="215"/>
      <c r="G24" s="215"/>
      <c r="H24" s="215"/>
      <c r="I24" s="215"/>
      <c r="J24" s="215"/>
      <c r="K24" s="178"/>
      <c r="L24" s="178"/>
      <c r="M24" s="178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ht="24.95" customHeight="1" x14ac:dyDescent="0.2">
      <c r="A25" s="174"/>
      <c r="B25" s="177"/>
      <c r="C25" s="177"/>
      <c r="D25" s="178"/>
      <c r="E25" s="215"/>
      <c r="F25" s="215"/>
      <c r="G25" s="215"/>
      <c r="H25" s="215"/>
      <c r="I25" s="215"/>
      <c r="J25" s="215"/>
      <c r="K25" s="178"/>
      <c r="L25" s="178"/>
      <c r="M25" s="178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ht="24.95" customHeight="1" x14ac:dyDescent="0.2">
      <c r="A26" s="174"/>
      <c r="B26" s="177"/>
      <c r="C26" s="177"/>
      <c r="D26" s="178"/>
      <c r="E26" s="215"/>
      <c r="F26" s="215"/>
      <c r="G26" s="215"/>
      <c r="H26" s="215"/>
      <c r="I26" s="215"/>
      <c r="J26" s="215"/>
      <c r="K26" s="178"/>
      <c r="L26" s="178"/>
      <c r="M26" s="178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ht="24.95" customHeight="1" x14ac:dyDescent="0.2">
      <c r="A27" s="174"/>
      <c r="B27" s="177"/>
      <c r="C27" s="177"/>
      <c r="D27" s="178"/>
      <c r="E27" s="215"/>
      <c r="F27" s="215"/>
      <c r="G27" s="215"/>
      <c r="H27" s="215"/>
      <c r="I27" s="215"/>
      <c r="J27" s="215"/>
      <c r="K27" s="178"/>
      <c r="L27" s="178"/>
      <c r="M27" s="178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ht="24.95" customHeight="1" x14ac:dyDescent="0.2">
      <c r="A28" s="174"/>
      <c r="B28" s="182"/>
      <c r="C28" s="182"/>
      <c r="D28" s="183"/>
      <c r="E28" s="219"/>
      <c r="F28" s="219"/>
      <c r="G28" s="219"/>
      <c r="H28" s="219"/>
      <c r="I28" s="219"/>
      <c r="J28" s="219"/>
      <c r="K28" s="183"/>
      <c r="L28" s="184"/>
      <c r="M28" s="183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ht="35.1" customHeight="1" x14ac:dyDescent="0.2">
      <c r="A29" s="185"/>
      <c r="B29" s="382" t="s">
        <v>396</v>
      </c>
      <c r="C29" s="383"/>
      <c r="D29" s="383"/>
      <c r="E29" s="383"/>
      <c r="F29" s="383"/>
      <c r="G29" s="383"/>
      <c r="H29" s="383"/>
      <c r="I29" s="383"/>
      <c r="J29" s="383"/>
      <c r="K29" s="384"/>
      <c r="L29" s="186">
        <f>SUM(L56)</f>
        <v>0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ht="26.25" customHeight="1" x14ac:dyDescent="0.2">
      <c r="A30" s="1"/>
      <c r="B30" s="187"/>
      <c r="C30" s="187"/>
      <c r="D30" s="188"/>
      <c r="E30" s="83"/>
      <c r="F30" s="83"/>
      <c r="G30" s="83"/>
      <c r="H30" s="83"/>
      <c r="I30" s="83"/>
      <c r="J30" s="83"/>
      <c r="K30" s="188"/>
      <c r="L30" s="188"/>
      <c r="M30" s="188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ht="24.95" customHeight="1" x14ac:dyDescent="0.2">
      <c r="A31" s="18"/>
      <c r="B31" s="189"/>
      <c r="C31" s="189"/>
      <c r="D31" s="2"/>
      <c r="E31" s="173"/>
      <c r="F31" s="173"/>
      <c r="G31" s="173"/>
      <c r="H31" s="173"/>
      <c r="I31" s="173"/>
      <c r="J31" s="173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ht="24.95" customHeight="1" x14ac:dyDescent="0.2">
      <c r="A32" s="174"/>
      <c r="B32" s="190"/>
      <c r="C32" s="190"/>
      <c r="D32" s="174"/>
      <c r="E32" s="170"/>
      <c r="F32" s="170"/>
      <c r="G32" s="170"/>
      <c r="H32" s="170"/>
      <c r="I32" s="170"/>
      <c r="J32" s="170"/>
      <c r="K32" s="174"/>
      <c r="L32" s="174"/>
      <c r="M32" s="17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ht="24.95" customHeight="1" x14ac:dyDescent="0.2">
      <c r="A33" s="174"/>
      <c r="B33" s="190"/>
      <c r="C33" s="190"/>
      <c r="D33" s="174"/>
      <c r="E33" s="170"/>
      <c r="F33" s="170"/>
      <c r="G33" s="170"/>
      <c r="H33" s="170"/>
      <c r="I33" s="170"/>
      <c r="J33" s="170"/>
      <c r="K33" s="174"/>
      <c r="L33" s="174"/>
      <c r="M33" s="174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t="24.95" customHeight="1" x14ac:dyDescent="0.2">
      <c r="A34" s="174"/>
      <c r="B34" s="181" t="s">
        <v>384</v>
      </c>
      <c r="C34" s="414" t="s">
        <v>403</v>
      </c>
      <c r="D34" s="414"/>
      <c r="E34" s="414"/>
      <c r="F34" s="414"/>
      <c r="G34" s="414"/>
      <c r="H34" s="414"/>
      <c r="I34" s="214"/>
      <c r="J34" s="214"/>
      <c r="K34" s="176"/>
      <c r="L34" s="176"/>
      <c r="M34" s="176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ht="24.95" customHeight="1" x14ac:dyDescent="0.2">
      <c r="A35" s="174"/>
      <c r="B35" s="190"/>
      <c r="C35" s="190"/>
      <c r="D35" s="174"/>
      <c r="E35" s="170"/>
      <c r="F35" s="170"/>
      <c r="G35" s="170"/>
      <c r="H35" s="170"/>
      <c r="I35" s="170"/>
      <c r="J35" s="170"/>
      <c r="K35" s="174"/>
      <c r="L35" s="174"/>
      <c r="M35" s="17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t="24.95" customHeight="1" x14ac:dyDescent="0.25">
      <c r="A36" s="174"/>
      <c r="B36" s="191" t="s">
        <v>429</v>
      </c>
      <c r="C36" s="181"/>
      <c r="D36" s="176"/>
      <c r="E36" s="214"/>
      <c r="F36" s="214"/>
      <c r="G36" s="214"/>
      <c r="H36" s="214"/>
      <c r="I36" s="214"/>
      <c r="J36" s="214"/>
      <c r="K36" s="176"/>
      <c r="L36" s="176"/>
      <c r="M36" s="176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ht="24.95" customHeight="1" x14ac:dyDescent="0.2">
      <c r="A37" s="174"/>
      <c r="B37" s="190"/>
      <c r="C37" s="190"/>
      <c r="D37" s="174"/>
      <c r="E37" s="170"/>
      <c r="F37" s="170"/>
      <c r="G37" s="170"/>
      <c r="H37" s="170"/>
      <c r="I37" s="170"/>
      <c r="J37" s="170"/>
      <c r="K37" s="174"/>
      <c r="L37" s="2"/>
      <c r="M37" s="174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ht="24.95" customHeight="1" x14ac:dyDescent="0.2">
      <c r="A38" s="174"/>
      <c r="B38" s="212" t="s">
        <v>0</v>
      </c>
      <c r="C38" s="213"/>
      <c r="D38" s="213"/>
      <c r="E38" s="220"/>
      <c r="F38" s="220"/>
      <c r="G38" s="220"/>
      <c r="H38" s="220"/>
      <c r="I38" s="220"/>
      <c r="J38" s="220"/>
      <c r="K38" s="213"/>
      <c r="L38" s="192">
        <f>SUM(L134)</f>
        <v>0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ht="24.95" customHeight="1" x14ac:dyDescent="0.2">
      <c r="A39" s="174"/>
      <c r="B39" s="181"/>
      <c r="C39" s="193"/>
      <c r="D39" s="176"/>
      <c r="E39" s="214"/>
      <c r="F39" s="214"/>
      <c r="G39" s="214"/>
      <c r="H39" s="214"/>
      <c r="I39" s="214"/>
      <c r="J39" s="214"/>
      <c r="K39" s="176"/>
      <c r="L39" s="1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ht="24.95" customHeight="1" x14ac:dyDescent="0.2">
      <c r="A40" s="174"/>
      <c r="B40" s="210" t="s">
        <v>397</v>
      </c>
      <c r="C40" s="211"/>
      <c r="D40" s="211"/>
      <c r="E40" s="221"/>
      <c r="F40" s="221"/>
      <c r="G40" s="221"/>
      <c r="H40" s="221"/>
      <c r="I40" s="221"/>
      <c r="J40" s="221"/>
      <c r="K40" s="211"/>
      <c r="L40" s="194">
        <f>SUM(L207)</f>
        <v>0</v>
      </c>
      <c r="M40" s="365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ht="24.95" customHeight="1" x14ac:dyDescent="0.2">
      <c r="A41" s="174"/>
      <c r="B41" s="181"/>
      <c r="C41" s="181"/>
      <c r="D41" s="176"/>
      <c r="E41" s="214"/>
      <c r="F41" s="214"/>
      <c r="G41" s="214"/>
      <c r="H41" s="214"/>
      <c r="I41" s="214"/>
      <c r="J41" s="214"/>
      <c r="K41" s="176"/>
      <c r="L41" s="176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ht="24.95" customHeight="1" x14ac:dyDescent="0.2">
      <c r="A42" s="174"/>
      <c r="B42" s="208" t="s">
        <v>398</v>
      </c>
      <c r="C42" s="209"/>
      <c r="D42" s="209"/>
      <c r="E42" s="222"/>
      <c r="F42" s="222"/>
      <c r="G42" s="222"/>
      <c r="H42" s="222"/>
      <c r="I42" s="222"/>
      <c r="J42" s="222"/>
      <c r="K42" s="209"/>
      <c r="L42" s="195">
        <f>SUM(L226)</f>
        <v>0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ht="24.95" customHeight="1" x14ac:dyDescent="0.2">
      <c r="A43" s="174"/>
      <c r="B43" s="181"/>
      <c r="C43" s="181"/>
      <c r="D43" s="176"/>
      <c r="E43" s="214"/>
      <c r="F43" s="214"/>
      <c r="G43" s="214"/>
      <c r="H43" s="214"/>
      <c r="I43" s="214"/>
      <c r="J43" s="214"/>
      <c r="K43" s="176"/>
      <c r="L43" s="176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ht="24.95" customHeight="1" x14ac:dyDescent="0.2">
      <c r="A44" s="174"/>
      <c r="B44" s="206" t="s">
        <v>399</v>
      </c>
      <c r="C44" s="207"/>
      <c r="D44" s="207"/>
      <c r="E44" s="223"/>
      <c r="F44" s="223"/>
      <c r="G44" s="223"/>
      <c r="H44" s="223"/>
      <c r="I44" s="223"/>
      <c r="J44" s="223"/>
      <c r="K44" s="207"/>
      <c r="L44" s="196">
        <f>SUM(L365)</f>
        <v>0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ht="24.95" customHeight="1" x14ac:dyDescent="0.2">
      <c r="A45" s="174"/>
      <c r="B45" s="181"/>
      <c r="C45" s="181"/>
      <c r="D45" s="176"/>
      <c r="E45" s="214"/>
      <c r="F45" s="214"/>
      <c r="G45" s="214"/>
      <c r="H45" s="214"/>
      <c r="I45" s="214"/>
      <c r="J45" s="214"/>
      <c r="K45" s="176"/>
      <c r="L45" s="176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ht="24.95" customHeight="1" x14ac:dyDescent="0.2">
      <c r="A46" s="174"/>
      <c r="B46" s="204" t="s">
        <v>430</v>
      </c>
      <c r="C46" s="205"/>
      <c r="D46" s="205"/>
      <c r="E46" s="224"/>
      <c r="F46" s="224"/>
      <c r="G46" s="224"/>
      <c r="H46" s="224"/>
      <c r="I46" s="224"/>
      <c r="J46" s="224"/>
      <c r="K46" s="205"/>
      <c r="L46" s="197">
        <f>L388</f>
        <v>0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ht="24.95" customHeight="1" x14ac:dyDescent="0.2">
      <c r="A47" s="174"/>
      <c r="B47" s="181"/>
      <c r="C47" s="181"/>
      <c r="D47" s="176"/>
      <c r="E47" s="214"/>
      <c r="F47" s="214"/>
      <c r="G47" s="214"/>
      <c r="H47" s="214"/>
      <c r="I47" s="214"/>
      <c r="J47" s="214"/>
      <c r="K47" s="176"/>
      <c r="L47" s="176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ht="24.95" customHeight="1" x14ac:dyDescent="0.2">
      <c r="A48" s="174"/>
      <c r="B48" s="359" t="s">
        <v>377</v>
      </c>
      <c r="C48" s="360"/>
      <c r="D48" s="360"/>
      <c r="E48" s="361"/>
      <c r="F48" s="361"/>
      <c r="G48" s="361"/>
      <c r="H48" s="361"/>
      <c r="I48" s="361"/>
      <c r="J48" s="361"/>
      <c r="K48" s="360"/>
      <c r="L48" s="362">
        <f>SUM(L410)</f>
        <v>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ht="24.95" customHeight="1" x14ac:dyDescent="0.2">
      <c r="A49" s="174"/>
      <c r="B49" s="198"/>
      <c r="C49" s="198"/>
      <c r="J49" s="218"/>
      <c r="K49" s="18"/>
      <c r="L49" s="366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ht="24.95" customHeight="1" x14ac:dyDescent="0.2">
      <c r="A50" s="174"/>
      <c r="B50" s="388" t="s">
        <v>415</v>
      </c>
      <c r="C50" s="389"/>
      <c r="D50" s="389"/>
      <c r="E50" s="389"/>
      <c r="F50" s="389"/>
      <c r="G50" s="389"/>
      <c r="H50" s="389"/>
      <c r="I50" s="389"/>
      <c r="J50" s="389"/>
      <c r="K50" s="390"/>
      <c r="L50" s="363">
        <v>0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ht="24.95" customHeight="1" x14ac:dyDescent="0.2">
      <c r="A51" s="174"/>
      <c r="B51" s="198"/>
      <c r="C51" s="198"/>
      <c r="J51" s="218"/>
      <c r="K51" s="18"/>
      <c r="L51" s="366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s="1" customFormat="1" ht="24.95" customHeight="1" x14ac:dyDescent="0.2">
      <c r="A52" s="174"/>
      <c r="B52" s="385" t="s">
        <v>400</v>
      </c>
      <c r="C52" s="386"/>
      <c r="D52" s="386"/>
      <c r="E52" s="386"/>
      <c r="F52" s="386"/>
      <c r="G52" s="386"/>
      <c r="H52" s="386"/>
      <c r="I52" s="386"/>
      <c r="J52" s="386"/>
      <c r="K52" s="387"/>
      <c r="L52" s="363">
        <f>SUM(L38,L40,L42,L46,L50,L44,L48)</f>
        <v>0</v>
      </c>
    </row>
    <row r="53" spans="1:36" ht="24.95" customHeight="1" x14ac:dyDescent="0.2">
      <c r="A53" s="174"/>
      <c r="B53" s="190"/>
      <c r="C53" s="190"/>
      <c r="D53" s="174"/>
      <c r="E53" s="170"/>
      <c r="F53" s="170"/>
      <c r="G53" s="170"/>
      <c r="H53" s="170"/>
      <c r="I53" s="170"/>
      <c r="J53" s="170"/>
      <c r="K53" s="174"/>
      <c r="L53" s="367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s="1" customFormat="1" ht="24.95" customHeight="1" x14ac:dyDescent="0.2">
      <c r="A54" s="174"/>
      <c r="B54" s="385" t="s">
        <v>401</v>
      </c>
      <c r="C54" s="386"/>
      <c r="D54" s="386"/>
      <c r="E54" s="386"/>
      <c r="F54" s="386"/>
      <c r="G54" s="386"/>
      <c r="H54" s="386"/>
      <c r="I54" s="386"/>
      <c r="J54" s="386"/>
      <c r="K54" s="387"/>
      <c r="L54" s="363">
        <f>L52*1.21-L52</f>
        <v>0</v>
      </c>
    </row>
    <row r="55" spans="1:36" ht="24.95" customHeight="1" x14ac:dyDescent="0.2">
      <c r="A55" s="174"/>
      <c r="B55" s="190"/>
      <c r="C55" s="190"/>
      <c r="D55" s="174"/>
      <c r="E55" s="170"/>
      <c r="F55" s="170"/>
      <c r="G55" s="170"/>
      <c r="H55" s="170"/>
      <c r="I55" s="170"/>
      <c r="J55" s="170"/>
      <c r="K55" s="174"/>
      <c r="L55" s="367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ht="24.95" customHeight="1" x14ac:dyDescent="0.2">
      <c r="A56" s="174"/>
      <c r="B56" s="382" t="s">
        <v>402</v>
      </c>
      <c r="C56" s="383"/>
      <c r="D56" s="383"/>
      <c r="E56" s="383"/>
      <c r="F56" s="383"/>
      <c r="G56" s="383"/>
      <c r="H56" s="383"/>
      <c r="I56" s="383"/>
      <c r="J56" s="383"/>
      <c r="K56" s="384"/>
      <c r="L56" s="368">
        <f>L52*1.21</f>
        <v>0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ht="24.95" customHeight="1" x14ac:dyDescent="0.2">
      <c r="A57" s="174"/>
      <c r="B57" s="181"/>
      <c r="C57" s="181"/>
      <c r="D57" s="176"/>
      <c r="E57" s="214"/>
      <c r="F57" s="214"/>
      <c r="G57" s="214"/>
      <c r="H57" s="214"/>
      <c r="I57" s="214"/>
      <c r="J57" s="214"/>
      <c r="K57" s="176"/>
      <c r="L57" s="364"/>
      <c r="M57" s="176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ht="24.95" customHeight="1" x14ac:dyDescent="0.2">
      <c r="A58" s="174"/>
      <c r="B58" s="199"/>
      <c r="C58" s="182"/>
      <c r="D58" s="200"/>
      <c r="E58" s="225"/>
      <c r="F58" s="225"/>
      <c r="G58" s="225"/>
      <c r="H58" s="225"/>
      <c r="I58" s="225"/>
      <c r="J58" s="225"/>
      <c r="K58" s="200"/>
      <c r="L58" s="201"/>
      <c r="M58" s="20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ht="35.1" customHeight="1" x14ac:dyDescent="0.2">
      <c r="A59" s="185"/>
      <c r="B59" s="189"/>
      <c r="C59" s="189"/>
      <c r="D59" s="2"/>
      <c r="E59" s="173"/>
      <c r="F59" s="173"/>
      <c r="G59" s="173"/>
      <c r="H59" s="173"/>
      <c r="I59" s="173"/>
      <c r="J59" s="17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s="173" customFormat="1" ht="26.25" customHeight="1" x14ac:dyDescent="0.2">
      <c r="A60" s="172"/>
      <c r="B60" s="203"/>
      <c r="C60" s="203"/>
      <c r="D60" s="83"/>
      <c r="E60" s="83"/>
      <c r="F60" s="83"/>
      <c r="G60" s="83"/>
      <c r="H60" s="83"/>
      <c r="I60" s="83"/>
      <c r="J60" s="83"/>
      <c r="K60" s="83"/>
      <c r="L60" s="83"/>
      <c r="M60" s="83"/>
    </row>
    <row r="61" spans="1:36" s="49" customFormat="1" ht="35.1" customHeight="1" x14ac:dyDescent="0.2">
      <c r="A61" s="48"/>
      <c r="B61" s="468" t="s">
        <v>0</v>
      </c>
      <c r="C61" s="468"/>
      <c r="D61" s="468"/>
      <c r="E61" s="468"/>
      <c r="F61" s="468"/>
      <c r="G61" s="468"/>
      <c r="H61" s="468"/>
      <c r="I61" s="468"/>
      <c r="J61" s="468"/>
      <c r="K61" s="468"/>
      <c r="L61" s="46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  <c r="AJ61" s="128"/>
    </row>
    <row r="62" spans="1:36" s="34" customFormat="1" ht="24.95" customHeight="1" x14ac:dyDescent="0.2">
      <c r="A62" s="404"/>
      <c r="B62" s="400" t="s">
        <v>1</v>
      </c>
      <c r="C62" s="400" t="s">
        <v>2</v>
      </c>
      <c r="D62" s="401" t="s">
        <v>3</v>
      </c>
      <c r="E62" s="406" t="s">
        <v>114</v>
      </c>
      <c r="F62" s="406"/>
      <c r="G62" s="406"/>
      <c r="H62" s="406"/>
      <c r="I62" s="406"/>
      <c r="J62" s="406"/>
      <c r="K62" s="372" t="s">
        <v>4</v>
      </c>
      <c r="L62" s="391" t="s">
        <v>115</v>
      </c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</row>
    <row r="63" spans="1:36" ht="24.95" customHeight="1" x14ac:dyDescent="0.2">
      <c r="A63" s="404"/>
      <c r="B63" s="400"/>
      <c r="C63" s="400"/>
      <c r="D63" s="401"/>
      <c r="E63" s="259" t="s">
        <v>245</v>
      </c>
      <c r="F63" s="259" t="s">
        <v>246</v>
      </c>
      <c r="G63" s="259" t="s">
        <v>341</v>
      </c>
      <c r="H63" s="259" t="s">
        <v>342</v>
      </c>
      <c r="I63" s="259" t="s">
        <v>343</v>
      </c>
      <c r="J63" s="293" t="s">
        <v>8</v>
      </c>
      <c r="K63" s="372"/>
      <c r="L63" s="391"/>
    </row>
    <row r="64" spans="1:36" ht="24.95" customHeight="1" x14ac:dyDescent="0.2">
      <c r="A64" s="30"/>
      <c r="B64" s="407" t="s">
        <v>262</v>
      </c>
      <c r="C64" s="407"/>
      <c r="D64" s="407"/>
      <c r="E64" s="407"/>
      <c r="F64" s="407"/>
      <c r="G64" s="407"/>
      <c r="H64" s="407"/>
      <c r="I64" s="407"/>
      <c r="J64" s="407"/>
      <c r="K64" s="407"/>
      <c r="L64" s="407"/>
    </row>
    <row r="65" spans="1:36" s="88" customFormat="1" ht="24.95" customHeight="1" x14ac:dyDescent="0.2">
      <c r="A65" s="30"/>
      <c r="B65" s="91" t="s">
        <v>339</v>
      </c>
      <c r="C65" s="91" t="s">
        <v>249</v>
      </c>
      <c r="D65" s="85" t="s">
        <v>248</v>
      </c>
      <c r="E65" s="286">
        <v>4</v>
      </c>
      <c r="F65" s="258">
        <v>0</v>
      </c>
      <c r="G65" s="258">
        <v>0</v>
      </c>
      <c r="H65" s="258">
        <v>0</v>
      </c>
      <c r="I65" s="258">
        <v>0</v>
      </c>
      <c r="J65" s="262">
        <f t="shared" ref="J65:J70" si="0">SUM(E65:I65)</f>
        <v>4</v>
      </c>
      <c r="K65" s="65">
        <v>0</v>
      </c>
      <c r="L65" s="65">
        <f t="shared" ref="L65:L70" si="1">J65*K65</f>
        <v>0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7"/>
      <c r="AH65" s="127"/>
      <c r="AI65" s="127"/>
      <c r="AJ65" s="127"/>
    </row>
    <row r="66" spans="1:36" s="88" customFormat="1" ht="24.95" customHeight="1" x14ac:dyDescent="0.2">
      <c r="A66" s="30"/>
      <c r="B66" s="89" t="s">
        <v>250</v>
      </c>
      <c r="C66" s="89" t="s">
        <v>251</v>
      </c>
      <c r="D66" s="86" t="s">
        <v>248</v>
      </c>
      <c r="E66" s="286">
        <v>1</v>
      </c>
      <c r="F66" s="258">
        <v>0</v>
      </c>
      <c r="G66" s="258">
        <v>0</v>
      </c>
      <c r="H66" s="258">
        <v>0</v>
      </c>
      <c r="I66" s="258">
        <v>0</v>
      </c>
      <c r="J66" s="262">
        <f t="shared" si="0"/>
        <v>1</v>
      </c>
      <c r="K66" s="65">
        <v>0</v>
      </c>
      <c r="L66" s="65">
        <f t="shared" si="1"/>
        <v>0</v>
      </c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</row>
    <row r="67" spans="1:36" s="88" customFormat="1" ht="24.95" customHeight="1" x14ac:dyDescent="0.2">
      <c r="A67" s="30"/>
      <c r="B67" s="89" t="s">
        <v>252</v>
      </c>
      <c r="C67" s="89" t="s">
        <v>253</v>
      </c>
      <c r="D67" s="86" t="s">
        <v>254</v>
      </c>
      <c r="E67" s="286">
        <v>1</v>
      </c>
      <c r="F67" s="258">
        <v>0</v>
      </c>
      <c r="G67" s="258">
        <v>0</v>
      </c>
      <c r="H67" s="258">
        <v>0</v>
      </c>
      <c r="I67" s="258">
        <v>0</v>
      </c>
      <c r="J67" s="262">
        <f t="shared" si="0"/>
        <v>1</v>
      </c>
      <c r="K67" s="65">
        <v>0</v>
      </c>
      <c r="L67" s="65">
        <f t="shared" si="1"/>
        <v>0</v>
      </c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</row>
    <row r="68" spans="1:36" s="88" customFormat="1" ht="24.95" customHeight="1" x14ac:dyDescent="0.2">
      <c r="A68" s="30"/>
      <c r="B68" s="89" t="s">
        <v>255</v>
      </c>
      <c r="C68" s="89" t="s">
        <v>256</v>
      </c>
      <c r="D68" s="86" t="s">
        <v>257</v>
      </c>
      <c r="E68" s="286">
        <v>1</v>
      </c>
      <c r="F68" s="258">
        <v>0</v>
      </c>
      <c r="G68" s="258">
        <v>0</v>
      </c>
      <c r="H68" s="258">
        <v>0</v>
      </c>
      <c r="I68" s="258">
        <v>0</v>
      </c>
      <c r="J68" s="262">
        <f t="shared" si="0"/>
        <v>1</v>
      </c>
      <c r="K68" s="65">
        <v>0</v>
      </c>
      <c r="L68" s="65">
        <f t="shared" si="1"/>
        <v>0</v>
      </c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</row>
    <row r="69" spans="1:36" s="88" customFormat="1" ht="24.95" customHeight="1" x14ac:dyDescent="0.2">
      <c r="A69" s="30"/>
      <c r="B69" s="89" t="s">
        <v>258</v>
      </c>
      <c r="C69" s="89" t="s">
        <v>259</v>
      </c>
      <c r="D69" s="86" t="s">
        <v>257</v>
      </c>
      <c r="E69" s="286">
        <v>1</v>
      </c>
      <c r="F69" s="258">
        <v>0</v>
      </c>
      <c r="G69" s="258">
        <v>0</v>
      </c>
      <c r="H69" s="258">
        <v>0</v>
      </c>
      <c r="I69" s="258">
        <v>0</v>
      </c>
      <c r="J69" s="262">
        <f t="shared" si="0"/>
        <v>1</v>
      </c>
      <c r="K69" s="65">
        <v>0</v>
      </c>
      <c r="L69" s="65">
        <f t="shared" si="1"/>
        <v>0</v>
      </c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</row>
    <row r="70" spans="1:36" s="88" customFormat="1" ht="24.95" customHeight="1" x14ac:dyDescent="0.2">
      <c r="A70" s="30"/>
      <c r="B70" s="89" t="s">
        <v>260</v>
      </c>
      <c r="C70" s="89" t="s">
        <v>261</v>
      </c>
      <c r="D70" s="86" t="s">
        <v>248</v>
      </c>
      <c r="E70" s="286">
        <v>3</v>
      </c>
      <c r="F70" s="258">
        <v>0</v>
      </c>
      <c r="G70" s="258">
        <v>0</v>
      </c>
      <c r="H70" s="258">
        <v>0</v>
      </c>
      <c r="I70" s="258">
        <v>0</v>
      </c>
      <c r="J70" s="262">
        <f t="shared" si="0"/>
        <v>3</v>
      </c>
      <c r="K70" s="65">
        <v>0</v>
      </c>
      <c r="L70" s="65">
        <f t="shared" si="1"/>
        <v>0</v>
      </c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</row>
    <row r="71" spans="1:36" ht="24.95" customHeight="1" x14ac:dyDescent="0.2">
      <c r="A71" s="30"/>
      <c r="B71" s="405" t="s">
        <v>263</v>
      </c>
      <c r="C71" s="405"/>
      <c r="D71" s="115"/>
      <c r="E71" s="287">
        <f>SUM(E65:E70)</f>
        <v>11</v>
      </c>
      <c r="F71" s="226"/>
      <c r="G71" s="226"/>
      <c r="H71" s="226"/>
      <c r="I71" s="226"/>
      <c r="J71" s="287">
        <f>SUM(J65:J70)</f>
        <v>11</v>
      </c>
      <c r="K71" s="116"/>
      <c r="L71" s="66">
        <f>SUM(L65:L70)</f>
        <v>0</v>
      </c>
    </row>
    <row r="72" spans="1:36" ht="24.95" customHeight="1" x14ac:dyDescent="0.2">
      <c r="A72" s="30"/>
      <c r="B72" s="407" t="s">
        <v>264</v>
      </c>
      <c r="C72" s="407"/>
      <c r="D72" s="407"/>
      <c r="E72" s="407"/>
      <c r="F72" s="407"/>
      <c r="G72" s="407"/>
      <c r="H72" s="407"/>
      <c r="I72" s="407"/>
      <c r="J72" s="407"/>
      <c r="K72" s="407"/>
      <c r="L72" s="407"/>
    </row>
    <row r="73" spans="1:36" s="88" customFormat="1" ht="24.95" customHeight="1" x14ac:dyDescent="0.2">
      <c r="A73" s="30"/>
      <c r="B73" s="89" t="s">
        <v>346</v>
      </c>
      <c r="C73" s="89" t="s">
        <v>247</v>
      </c>
      <c r="D73" s="86" t="s">
        <v>257</v>
      </c>
      <c r="E73" s="258">
        <v>0</v>
      </c>
      <c r="F73" s="258">
        <v>0</v>
      </c>
      <c r="G73" s="258">
        <v>0</v>
      </c>
      <c r="H73" s="258">
        <v>1</v>
      </c>
      <c r="I73" s="258">
        <v>0</v>
      </c>
      <c r="J73" s="262">
        <f>SUM(E73:I73)</f>
        <v>1</v>
      </c>
      <c r="K73" s="65">
        <v>0</v>
      </c>
      <c r="L73" s="65">
        <f>J73*K73</f>
        <v>0</v>
      </c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</row>
    <row r="74" spans="1:36" s="88" customFormat="1" ht="24.95" customHeight="1" x14ac:dyDescent="0.2">
      <c r="A74" s="30"/>
      <c r="B74" s="91" t="s">
        <v>339</v>
      </c>
      <c r="C74" s="91" t="s">
        <v>249</v>
      </c>
      <c r="D74" s="85" t="s">
        <v>248</v>
      </c>
      <c r="E74" s="258">
        <v>0</v>
      </c>
      <c r="F74" s="258">
        <v>0</v>
      </c>
      <c r="G74" s="258">
        <v>0</v>
      </c>
      <c r="H74" s="258">
        <v>5</v>
      </c>
      <c r="I74" s="258">
        <v>0</v>
      </c>
      <c r="J74" s="262">
        <f>SUM(E74:I74)</f>
        <v>5</v>
      </c>
      <c r="K74" s="65">
        <v>0</v>
      </c>
      <c r="L74" s="65">
        <f t="shared" ref="L74" si="2">J74*K74</f>
        <v>0</v>
      </c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</row>
    <row r="75" spans="1:36" s="88" customFormat="1" ht="24.95" customHeight="1" x14ac:dyDescent="0.2">
      <c r="A75" s="30"/>
      <c r="B75" s="92" t="s">
        <v>266</v>
      </c>
      <c r="C75" s="92" t="s">
        <v>267</v>
      </c>
      <c r="D75" s="84" t="s">
        <v>268</v>
      </c>
      <c r="E75" s="258">
        <v>0</v>
      </c>
      <c r="F75" s="288">
        <v>5</v>
      </c>
      <c r="G75" s="258">
        <v>0</v>
      </c>
      <c r="H75" s="258">
        <v>0</v>
      </c>
      <c r="I75" s="258">
        <v>0</v>
      </c>
      <c r="J75" s="262">
        <f>SUM(E75:I75)</f>
        <v>5</v>
      </c>
      <c r="K75" s="65">
        <v>0</v>
      </c>
      <c r="L75" s="65">
        <f t="shared" ref="L75:L79" si="3">J75*K75</f>
        <v>0</v>
      </c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</row>
    <row r="76" spans="1:36" s="88" customFormat="1" ht="24.95" customHeight="1" x14ac:dyDescent="0.2">
      <c r="A76" s="30"/>
      <c r="B76" s="92" t="s">
        <v>269</v>
      </c>
      <c r="C76" s="92" t="s">
        <v>270</v>
      </c>
      <c r="D76" s="84" t="s">
        <v>257</v>
      </c>
      <c r="E76" s="258">
        <v>0</v>
      </c>
      <c r="F76" s="288">
        <v>7</v>
      </c>
      <c r="G76" s="258">
        <v>0</v>
      </c>
      <c r="H76" s="258">
        <v>0</v>
      </c>
      <c r="I76" s="95">
        <v>3</v>
      </c>
      <c r="J76" s="262">
        <f t="shared" ref="J76:J79" si="4">SUM(E76:I76)</f>
        <v>10</v>
      </c>
      <c r="K76" s="65">
        <v>0</v>
      </c>
      <c r="L76" s="65">
        <f t="shared" si="3"/>
        <v>0</v>
      </c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</row>
    <row r="77" spans="1:36" s="88" customFormat="1" ht="24.95" customHeight="1" x14ac:dyDescent="0.2">
      <c r="A77" s="30"/>
      <c r="B77" s="92" t="s">
        <v>271</v>
      </c>
      <c r="C77" s="92" t="s">
        <v>272</v>
      </c>
      <c r="D77" s="84" t="s">
        <v>257</v>
      </c>
      <c r="E77" s="258">
        <v>0</v>
      </c>
      <c r="F77" s="288">
        <v>13</v>
      </c>
      <c r="G77" s="258">
        <v>0</v>
      </c>
      <c r="H77" s="258">
        <v>0</v>
      </c>
      <c r="I77" s="258">
        <v>0</v>
      </c>
      <c r="J77" s="262">
        <f t="shared" si="4"/>
        <v>13</v>
      </c>
      <c r="K77" s="65">
        <v>0</v>
      </c>
      <c r="L77" s="65">
        <f t="shared" si="3"/>
        <v>0</v>
      </c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</row>
    <row r="78" spans="1:36" ht="24.95" customHeight="1" x14ac:dyDescent="0.2">
      <c r="A78" s="30"/>
      <c r="B78" s="89" t="s">
        <v>260</v>
      </c>
      <c r="C78" s="89" t="s">
        <v>261</v>
      </c>
      <c r="D78" s="86" t="s">
        <v>248</v>
      </c>
      <c r="E78" s="258">
        <v>0</v>
      </c>
      <c r="F78" s="288">
        <v>0</v>
      </c>
      <c r="G78" s="258">
        <v>0</v>
      </c>
      <c r="H78" s="258">
        <v>0</v>
      </c>
      <c r="I78" s="95">
        <v>3</v>
      </c>
      <c r="J78" s="262">
        <f t="shared" si="4"/>
        <v>3</v>
      </c>
      <c r="K78" s="65">
        <v>0</v>
      </c>
      <c r="L78" s="65">
        <f t="shared" si="3"/>
        <v>0</v>
      </c>
    </row>
    <row r="79" spans="1:36" ht="24.95" customHeight="1" x14ac:dyDescent="0.2">
      <c r="A79" s="30"/>
      <c r="B79" s="114" t="s">
        <v>362</v>
      </c>
      <c r="C79" s="114" t="s">
        <v>363</v>
      </c>
      <c r="D79" s="84" t="s">
        <v>364</v>
      </c>
      <c r="E79" s="258">
        <v>0</v>
      </c>
      <c r="F79" s="288">
        <v>0</v>
      </c>
      <c r="G79" s="258">
        <v>0</v>
      </c>
      <c r="H79" s="258">
        <v>0</v>
      </c>
      <c r="I79" s="95">
        <v>1</v>
      </c>
      <c r="J79" s="262">
        <f t="shared" si="4"/>
        <v>1</v>
      </c>
      <c r="K79" s="65">
        <v>0</v>
      </c>
      <c r="L79" s="65">
        <f t="shared" si="3"/>
        <v>0</v>
      </c>
    </row>
    <row r="80" spans="1:36" ht="24.95" customHeight="1" x14ac:dyDescent="0.2">
      <c r="A80" s="30"/>
      <c r="B80" s="405" t="s">
        <v>265</v>
      </c>
      <c r="C80" s="405"/>
      <c r="D80" s="115"/>
      <c r="E80" s="287"/>
      <c r="F80" s="287">
        <f>SUM(F73:F79)</f>
        <v>25</v>
      </c>
      <c r="G80" s="287"/>
      <c r="H80" s="287">
        <f>SUM(H73:H79)</f>
        <v>6</v>
      </c>
      <c r="I80" s="287">
        <f>SUM(I73:I79)</f>
        <v>7</v>
      </c>
      <c r="J80" s="287">
        <f>SUM(J73:J79)</f>
        <v>38</v>
      </c>
      <c r="K80" s="116"/>
      <c r="L80" s="66">
        <f>SUM(L73:L79)</f>
        <v>0</v>
      </c>
    </row>
    <row r="81" spans="1:36" s="34" customFormat="1" ht="24.95" customHeight="1" x14ac:dyDescent="0.2">
      <c r="A81" s="404"/>
      <c r="B81" s="400" t="s">
        <v>1</v>
      </c>
      <c r="C81" s="400" t="s">
        <v>2</v>
      </c>
      <c r="D81" s="401" t="s">
        <v>3</v>
      </c>
      <c r="E81" s="406" t="s">
        <v>114</v>
      </c>
      <c r="F81" s="406"/>
      <c r="G81" s="406"/>
      <c r="H81" s="406"/>
      <c r="I81" s="406"/>
      <c r="J81" s="406"/>
      <c r="K81" s="372" t="s">
        <v>4</v>
      </c>
      <c r="L81" s="391" t="s">
        <v>115</v>
      </c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</row>
    <row r="82" spans="1:36" ht="24.95" customHeight="1" x14ac:dyDescent="0.2">
      <c r="A82" s="404"/>
      <c r="B82" s="400"/>
      <c r="C82" s="400"/>
      <c r="D82" s="401"/>
      <c r="E82" s="259" t="s">
        <v>245</v>
      </c>
      <c r="F82" s="259" t="s">
        <v>246</v>
      </c>
      <c r="G82" s="259" t="s">
        <v>341</v>
      </c>
      <c r="H82" s="259" t="s">
        <v>342</v>
      </c>
      <c r="I82" s="259" t="s">
        <v>343</v>
      </c>
      <c r="J82" s="292" t="s">
        <v>8</v>
      </c>
      <c r="K82" s="372"/>
      <c r="L82" s="391"/>
    </row>
    <row r="83" spans="1:36" ht="24.95" customHeight="1" x14ac:dyDescent="0.2">
      <c r="A83" s="30"/>
      <c r="B83" s="470" t="s">
        <v>274</v>
      </c>
      <c r="C83" s="470"/>
      <c r="D83" s="470"/>
      <c r="E83" s="470"/>
      <c r="F83" s="470"/>
      <c r="G83" s="470"/>
      <c r="H83" s="470"/>
      <c r="I83" s="470"/>
      <c r="J83" s="470"/>
      <c r="K83" s="470"/>
      <c r="L83" s="470"/>
    </row>
    <row r="84" spans="1:36" ht="24.95" customHeight="1" x14ac:dyDescent="0.2">
      <c r="A84" s="30"/>
      <c r="B84" s="90" t="s">
        <v>276</v>
      </c>
      <c r="C84" s="90" t="s">
        <v>277</v>
      </c>
      <c r="D84" s="93" t="s">
        <v>278</v>
      </c>
      <c r="E84" s="291">
        <v>0</v>
      </c>
      <c r="F84" s="291">
        <v>0</v>
      </c>
      <c r="G84" s="257">
        <v>59</v>
      </c>
      <c r="H84" s="291">
        <v>0</v>
      </c>
      <c r="I84" s="291">
        <v>0</v>
      </c>
      <c r="J84" s="284">
        <f>SUM(E84:I84)</f>
        <v>59</v>
      </c>
      <c r="K84" s="65">
        <v>0</v>
      </c>
      <c r="L84" s="69">
        <f t="shared" ref="L84:L96" si="5">J84*K84</f>
        <v>0</v>
      </c>
    </row>
    <row r="85" spans="1:36" ht="24.95" customHeight="1" x14ac:dyDescent="0.2">
      <c r="A85" s="30"/>
      <c r="B85" s="112" t="s">
        <v>349</v>
      </c>
      <c r="C85" s="112" t="s">
        <v>304</v>
      </c>
      <c r="D85" s="96" t="s">
        <v>278</v>
      </c>
      <c r="E85" s="291">
        <v>0</v>
      </c>
      <c r="F85" s="291">
        <v>0</v>
      </c>
      <c r="G85" s="291">
        <v>0</v>
      </c>
      <c r="H85" s="17">
        <v>55</v>
      </c>
      <c r="I85" s="291">
        <v>0</v>
      </c>
      <c r="J85" s="284">
        <f>SUM(E85:I85)</f>
        <v>55</v>
      </c>
      <c r="K85" s="65">
        <v>0</v>
      </c>
      <c r="L85" s="69">
        <f t="shared" si="5"/>
        <v>0</v>
      </c>
    </row>
    <row r="86" spans="1:36" ht="24.95" customHeight="1" x14ac:dyDescent="0.2">
      <c r="A86" s="30"/>
      <c r="B86" s="90" t="s">
        <v>281</v>
      </c>
      <c r="C86" s="90" t="s">
        <v>282</v>
      </c>
      <c r="D86" s="93" t="s">
        <v>278</v>
      </c>
      <c r="E86" s="286">
        <v>28</v>
      </c>
      <c r="F86" s="291">
        <v>0</v>
      </c>
      <c r="G86" s="291">
        <v>0</v>
      </c>
      <c r="H86" s="291">
        <v>0</v>
      </c>
      <c r="I86" s="291">
        <v>0</v>
      </c>
      <c r="J86" s="284">
        <f t="shared" ref="J86:J96" si="6">SUM(E86:I86)</f>
        <v>28</v>
      </c>
      <c r="K86" s="65">
        <v>0</v>
      </c>
      <c r="L86" s="69">
        <f t="shared" si="5"/>
        <v>0</v>
      </c>
    </row>
    <row r="87" spans="1:36" ht="24.95" customHeight="1" x14ac:dyDescent="0.2">
      <c r="A87" s="30"/>
      <c r="B87" s="90" t="s">
        <v>344</v>
      </c>
      <c r="C87" s="90" t="s">
        <v>345</v>
      </c>
      <c r="D87" s="93" t="s">
        <v>278</v>
      </c>
      <c r="E87" s="291">
        <v>0</v>
      </c>
      <c r="F87" s="291">
        <v>0</v>
      </c>
      <c r="G87" s="289">
        <v>65</v>
      </c>
      <c r="H87" s="291">
        <v>0</v>
      </c>
      <c r="I87" s="291">
        <v>0</v>
      </c>
      <c r="J87" s="284">
        <f t="shared" si="6"/>
        <v>65</v>
      </c>
      <c r="K87" s="65">
        <v>0</v>
      </c>
      <c r="L87" s="69">
        <f t="shared" si="5"/>
        <v>0</v>
      </c>
    </row>
    <row r="88" spans="1:36" ht="24.95" customHeight="1" x14ac:dyDescent="0.2">
      <c r="A88" s="30"/>
      <c r="B88" s="113" t="s">
        <v>351</v>
      </c>
      <c r="C88" s="113" t="s">
        <v>286</v>
      </c>
      <c r="D88" s="93" t="s">
        <v>278</v>
      </c>
      <c r="E88" s="291">
        <v>0</v>
      </c>
      <c r="F88" s="291">
        <v>0</v>
      </c>
      <c r="G88" s="289">
        <v>64</v>
      </c>
      <c r="H88" s="291">
        <v>0</v>
      </c>
      <c r="I88" s="291">
        <v>0</v>
      </c>
      <c r="J88" s="284">
        <f t="shared" si="6"/>
        <v>64</v>
      </c>
      <c r="K88" s="65">
        <v>0</v>
      </c>
      <c r="L88" s="69">
        <f t="shared" si="5"/>
        <v>0</v>
      </c>
    </row>
    <row r="89" spans="1:36" ht="24.95" customHeight="1" x14ac:dyDescent="0.2">
      <c r="A89" s="30"/>
      <c r="B89" s="91" t="s">
        <v>413</v>
      </c>
      <c r="C89" s="91" t="s">
        <v>286</v>
      </c>
      <c r="D89" s="93" t="s">
        <v>278</v>
      </c>
      <c r="E89" s="286">
        <v>0</v>
      </c>
      <c r="F89" s="291">
        <v>0</v>
      </c>
      <c r="G89" s="291">
        <v>0</v>
      </c>
      <c r="H89" s="257">
        <v>100</v>
      </c>
      <c r="I89" s="291">
        <v>0</v>
      </c>
      <c r="J89" s="284">
        <f t="shared" si="6"/>
        <v>100</v>
      </c>
      <c r="K89" s="65">
        <v>0</v>
      </c>
      <c r="L89" s="69">
        <f t="shared" si="5"/>
        <v>0</v>
      </c>
    </row>
    <row r="90" spans="1:36" ht="24.95" customHeight="1" x14ac:dyDescent="0.2">
      <c r="A90" s="30"/>
      <c r="B90" s="90" t="s">
        <v>287</v>
      </c>
      <c r="C90" s="90" t="s">
        <v>286</v>
      </c>
      <c r="D90" s="93" t="s">
        <v>278</v>
      </c>
      <c r="E90" s="286">
        <v>34</v>
      </c>
      <c r="F90" s="291">
        <v>0</v>
      </c>
      <c r="G90" s="291">
        <v>0</v>
      </c>
      <c r="H90" s="291">
        <v>0</v>
      </c>
      <c r="I90" s="291">
        <v>0</v>
      </c>
      <c r="J90" s="284">
        <f t="shared" si="6"/>
        <v>34</v>
      </c>
      <c r="K90" s="65">
        <v>0</v>
      </c>
      <c r="L90" s="69">
        <f t="shared" si="5"/>
        <v>0</v>
      </c>
    </row>
    <row r="91" spans="1:36" ht="24.95" customHeight="1" x14ac:dyDescent="0.2">
      <c r="A91" s="30"/>
      <c r="B91" s="91" t="s">
        <v>289</v>
      </c>
      <c r="C91" s="91" t="s">
        <v>288</v>
      </c>
      <c r="D91" s="94" t="s">
        <v>280</v>
      </c>
      <c r="E91" s="286">
        <v>109</v>
      </c>
      <c r="F91" s="291">
        <v>0</v>
      </c>
      <c r="G91" s="291">
        <v>0</v>
      </c>
      <c r="H91" s="291">
        <v>0</v>
      </c>
      <c r="I91" s="291">
        <v>0</v>
      </c>
      <c r="J91" s="284">
        <f t="shared" si="6"/>
        <v>109</v>
      </c>
      <c r="K91" s="65">
        <v>0</v>
      </c>
      <c r="L91" s="69">
        <f t="shared" si="5"/>
        <v>0</v>
      </c>
    </row>
    <row r="92" spans="1:36" ht="24.95" customHeight="1" x14ac:dyDescent="0.2">
      <c r="A92" s="30"/>
      <c r="B92" s="91" t="s">
        <v>290</v>
      </c>
      <c r="C92" s="91" t="s">
        <v>291</v>
      </c>
      <c r="D92" s="94" t="s">
        <v>278</v>
      </c>
      <c r="E92" s="286">
        <v>14</v>
      </c>
      <c r="F92" s="291">
        <v>0</v>
      </c>
      <c r="G92" s="291">
        <v>0</v>
      </c>
      <c r="H92" s="291">
        <v>0</v>
      </c>
      <c r="I92" s="291">
        <v>0</v>
      </c>
      <c r="J92" s="284">
        <f t="shared" si="6"/>
        <v>14</v>
      </c>
      <c r="K92" s="65">
        <v>0</v>
      </c>
      <c r="L92" s="69">
        <f t="shared" si="5"/>
        <v>0</v>
      </c>
    </row>
    <row r="93" spans="1:36" ht="24.95" customHeight="1" x14ac:dyDescent="0.2">
      <c r="A93" s="30"/>
      <c r="B93" s="90" t="s">
        <v>301</v>
      </c>
      <c r="C93" s="90" t="s">
        <v>292</v>
      </c>
      <c r="D93" s="93" t="s">
        <v>278</v>
      </c>
      <c r="E93" s="291">
        <v>0</v>
      </c>
      <c r="F93" s="291">
        <v>0</v>
      </c>
      <c r="G93" s="291">
        <v>30</v>
      </c>
      <c r="H93" s="291">
        <v>0</v>
      </c>
      <c r="I93" s="291">
        <v>0</v>
      </c>
      <c r="J93" s="284">
        <f t="shared" si="6"/>
        <v>30</v>
      </c>
      <c r="K93" s="65">
        <v>0</v>
      </c>
      <c r="L93" s="69">
        <f t="shared" si="5"/>
        <v>0</v>
      </c>
    </row>
    <row r="94" spans="1:36" ht="24.95" customHeight="1" x14ac:dyDescent="0.2">
      <c r="A94" s="30"/>
      <c r="B94" s="90" t="s">
        <v>294</v>
      </c>
      <c r="C94" s="90" t="s">
        <v>293</v>
      </c>
      <c r="D94" s="93" t="s">
        <v>278</v>
      </c>
      <c r="E94" s="286">
        <v>43</v>
      </c>
      <c r="F94" s="291">
        <v>0</v>
      </c>
      <c r="G94" s="291">
        <v>0</v>
      </c>
      <c r="H94" s="291">
        <v>0</v>
      </c>
      <c r="I94" s="291">
        <v>0</v>
      </c>
      <c r="J94" s="284">
        <f t="shared" si="6"/>
        <v>43</v>
      </c>
      <c r="K94" s="65">
        <v>0</v>
      </c>
      <c r="L94" s="69">
        <f t="shared" si="5"/>
        <v>0</v>
      </c>
    </row>
    <row r="95" spans="1:36" ht="24.95" customHeight="1" x14ac:dyDescent="0.2">
      <c r="A95" s="30"/>
      <c r="B95" s="90" t="s">
        <v>412</v>
      </c>
      <c r="C95" s="90" t="s">
        <v>293</v>
      </c>
      <c r="D95" s="93" t="s">
        <v>278</v>
      </c>
      <c r="E95" s="286">
        <v>0</v>
      </c>
      <c r="F95" s="291">
        <v>0</v>
      </c>
      <c r="G95" s="291">
        <v>0</v>
      </c>
      <c r="H95" s="257">
        <v>55</v>
      </c>
      <c r="I95" s="291">
        <v>0</v>
      </c>
      <c r="J95" s="284">
        <f t="shared" si="6"/>
        <v>55</v>
      </c>
      <c r="K95" s="65">
        <v>0</v>
      </c>
      <c r="L95" s="69">
        <f t="shared" ref="L95" si="7">J95*K95</f>
        <v>0</v>
      </c>
    </row>
    <row r="96" spans="1:36" ht="24.95" customHeight="1" x14ac:dyDescent="0.2">
      <c r="A96" s="30"/>
      <c r="B96" s="90" t="s">
        <v>340</v>
      </c>
      <c r="C96" s="90" t="s">
        <v>295</v>
      </c>
      <c r="D96" s="93" t="s">
        <v>278</v>
      </c>
      <c r="E96" s="291">
        <v>0</v>
      </c>
      <c r="F96" s="291">
        <v>0</v>
      </c>
      <c r="G96" s="291">
        <v>44</v>
      </c>
      <c r="H96" s="291">
        <v>0</v>
      </c>
      <c r="I96" s="291">
        <v>0</v>
      </c>
      <c r="J96" s="284">
        <f t="shared" si="6"/>
        <v>44</v>
      </c>
      <c r="K96" s="65">
        <v>0</v>
      </c>
      <c r="L96" s="69">
        <f t="shared" si="5"/>
        <v>0</v>
      </c>
    </row>
    <row r="97" spans="1:36" ht="24.95" customHeight="1" x14ac:dyDescent="0.2">
      <c r="A97" s="30"/>
      <c r="B97" s="405" t="s">
        <v>275</v>
      </c>
      <c r="C97" s="405"/>
      <c r="D97" s="21"/>
      <c r="E97" s="290">
        <f>SUM(E84:E96)</f>
        <v>228</v>
      </c>
      <c r="F97" s="290"/>
      <c r="G97" s="290">
        <f>SUM(G84:G96)</f>
        <v>262</v>
      </c>
      <c r="H97" s="290">
        <f>SUM(H84:H96)</f>
        <v>210</v>
      </c>
      <c r="I97" s="290"/>
      <c r="J97" s="290">
        <f>SUM(J84:J96)</f>
        <v>700</v>
      </c>
      <c r="K97" s="21"/>
      <c r="L97" s="66">
        <f>SUM(L84:L96)</f>
        <v>0</v>
      </c>
    </row>
    <row r="98" spans="1:36" s="34" customFormat="1" ht="24.95" customHeight="1" x14ac:dyDescent="0.2">
      <c r="A98" s="404"/>
      <c r="B98" s="400" t="s">
        <v>1</v>
      </c>
      <c r="C98" s="400" t="s">
        <v>2</v>
      </c>
      <c r="D98" s="401" t="s">
        <v>3</v>
      </c>
      <c r="E98" s="406" t="s">
        <v>114</v>
      </c>
      <c r="F98" s="406"/>
      <c r="G98" s="406"/>
      <c r="H98" s="406"/>
      <c r="I98" s="406"/>
      <c r="J98" s="406"/>
      <c r="K98" s="372" t="s">
        <v>4</v>
      </c>
      <c r="L98" s="391" t="s">
        <v>115</v>
      </c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</row>
    <row r="99" spans="1:36" ht="24.95" customHeight="1" x14ac:dyDescent="0.2">
      <c r="A99" s="404"/>
      <c r="B99" s="400"/>
      <c r="C99" s="400"/>
      <c r="D99" s="401"/>
      <c r="E99" s="259" t="s">
        <v>245</v>
      </c>
      <c r="F99" s="259" t="s">
        <v>246</v>
      </c>
      <c r="G99" s="259" t="s">
        <v>341</v>
      </c>
      <c r="H99" s="259" t="s">
        <v>342</v>
      </c>
      <c r="I99" s="259" t="s">
        <v>343</v>
      </c>
      <c r="J99" s="292" t="s">
        <v>8</v>
      </c>
      <c r="K99" s="372"/>
      <c r="L99" s="391"/>
    </row>
    <row r="100" spans="1:36" ht="24.95" customHeight="1" x14ac:dyDescent="0.2">
      <c r="A100" s="30"/>
      <c r="B100" s="470" t="s">
        <v>297</v>
      </c>
      <c r="C100" s="470"/>
      <c r="D100" s="470"/>
      <c r="E100" s="470"/>
      <c r="F100" s="470"/>
      <c r="G100" s="470"/>
      <c r="H100" s="470"/>
      <c r="I100" s="470"/>
      <c r="J100" s="470"/>
      <c r="K100" s="470"/>
      <c r="L100" s="470"/>
    </row>
    <row r="101" spans="1:36" ht="24.95" customHeight="1" x14ac:dyDescent="0.2">
      <c r="A101" s="30"/>
      <c r="B101" s="90" t="s">
        <v>276</v>
      </c>
      <c r="C101" s="90" t="s">
        <v>277</v>
      </c>
      <c r="D101" s="93" t="s">
        <v>278</v>
      </c>
      <c r="E101" s="286">
        <v>0</v>
      </c>
      <c r="F101" s="286">
        <v>0</v>
      </c>
      <c r="G101" s="257">
        <v>0</v>
      </c>
      <c r="H101" s="257">
        <v>29</v>
      </c>
      <c r="I101" s="286">
        <v>0</v>
      </c>
      <c r="J101" s="284">
        <f t="shared" ref="J101:J109" si="8">SUM(E101:I101)</f>
        <v>29</v>
      </c>
      <c r="K101" s="65">
        <v>0</v>
      </c>
      <c r="L101" s="69">
        <f>J101*K101</f>
        <v>0</v>
      </c>
    </row>
    <row r="102" spans="1:36" ht="24.95" customHeight="1" x14ac:dyDescent="0.2">
      <c r="A102" s="30"/>
      <c r="B102" s="90" t="s">
        <v>299</v>
      </c>
      <c r="C102" s="90" t="s">
        <v>277</v>
      </c>
      <c r="D102" s="93" t="s">
        <v>278</v>
      </c>
      <c r="E102" s="286">
        <v>30</v>
      </c>
      <c r="F102" s="286">
        <v>0</v>
      </c>
      <c r="G102" s="286">
        <v>0</v>
      </c>
      <c r="H102" s="286">
        <v>0</v>
      </c>
      <c r="I102" s="286">
        <v>0</v>
      </c>
      <c r="J102" s="284">
        <f t="shared" si="8"/>
        <v>30</v>
      </c>
      <c r="K102" s="65">
        <v>0</v>
      </c>
      <c r="L102" s="69">
        <f t="shared" ref="L102:L109" si="9">J102*K102</f>
        <v>0</v>
      </c>
    </row>
    <row r="103" spans="1:36" ht="24.95" customHeight="1" x14ac:dyDescent="0.2">
      <c r="A103" s="30"/>
      <c r="B103" s="90" t="s">
        <v>350</v>
      </c>
      <c r="C103" s="90" t="s">
        <v>279</v>
      </c>
      <c r="D103" s="93" t="s">
        <v>300</v>
      </c>
      <c r="E103" s="286">
        <v>0</v>
      </c>
      <c r="F103" s="286">
        <v>0</v>
      </c>
      <c r="G103" s="286">
        <v>0</v>
      </c>
      <c r="H103" s="257">
        <v>527</v>
      </c>
      <c r="I103" s="286">
        <v>0</v>
      </c>
      <c r="J103" s="284">
        <f t="shared" si="8"/>
        <v>527</v>
      </c>
      <c r="K103" s="65">
        <v>0</v>
      </c>
      <c r="L103" s="69">
        <f t="shared" ref="L103" si="10">J103*K103</f>
        <v>0</v>
      </c>
    </row>
    <row r="104" spans="1:36" ht="24.95" customHeight="1" x14ac:dyDescent="0.2">
      <c r="A104" s="30"/>
      <c r="B104" s="90" t="s">
        <v>281</v>
      </c>
      <c r="C104" s="90" t="s">
        <v>282</v>
      </c>
      <c r="D104" s="93" t="s">
        <v>278</v>
      </c>
      <c r="E104" s="286">
        <v>46</v>
      </c>
      <c r="F104" s="286">
        <v>0</v>
      </c>
      <c r="G104" s="286">
        <v>0</v>
      </c>
      <c r="H104" s="286">
        <v>0</v>
      </c>
      <c r="I104" s="286">
        <v>0</v>
      </c>
      <c r="J104" s="284">
        <f t="shared" si="8"/>
        <v>46</v>
      </c>
      <c r="K104" s="65">
        <v>0</v>
      </c>
      <c r="L104" s="69">
        <f t="shared" si="9"/>
        <v>0</v>
      </c>
    </row>
    <row r="105" spans="1:36" ht="24.95" customHeight="1" x14ac:dyDescent="0.2">
      <c r="A105" s="30"/>
      <c r="B105" s="90" t="s">
        <v>284</v>
      </c>
      <c r="C105" s="90" t="s">
        <v>285</v>
      </c>
      <c r="D105" s="93" t="s">
        <v>278</v>
      </c>
      <c r="E105" s="286">
        <v>46</v>
      </c>
      <c r="F105" s="286">
        <v>0</v>
      </c>
      <c r="G105" s="286">
        <v>0</v>
      </c>
      <c r="H105" s="257">
        <v>628</v>
      </c>
      <c r="I105" s="286">
        <v>0</v>
      </c>
      <c r="J105" s="284">
        <f t="shared" si="8"/>
        <v>674</v>
      </c>
      <c r="K105" s="65">
        <v>0</v>
      </c>
      <c r="L105" s="69">
        <f t="shared" si="9"/>
        <v>0</v>
      </c>
    </row>
    <row r="106" spans="1:36" ht="24.95" customHeight="1" x14ac:dyDescent="0.2">
      <c r="A106" s="30"/>
      <c r="B106" s="113" t="s">
        <v>351</v>
      </c>
      <c r="C106" s="113" t="s">
        <v>286</v>
      </c>
      <c r="D106" s="93" t="s">
        <v>278</v>
      </c>
      <c r="E106" s="286">
        <v>0</v>
      </c>
      <c r="F106" s="286">
        <v>0</v>
      </c>
      <c r="G106" s="257">
        <v>0</v>
      </c>
      <c r="H106" s="257">
        <v>197</v>
      </c>
      <c r="I106" s="286">
        <v>0</v>
      </c>
      <c r="J106" s="284">
        <f t="shared" si="8"/>
        <v>197</v>
      </c>
      <c r="K106" s="65">
        <v>0</v>
      </c>
      <c r="L106" s="69">
        <f t="shared" si="9"/>
        <v>0</v>
      </c>
    </row>
    <row r="107" spans="1:36" ht="24.95" customHeight="1" x14ac:dyDescent="0.2">
      <c r="A107" s="30"/>
      <c r="B107" s="91" t="s">
        <v>289</v>
      </c>
      <c r="C107" s="91" t="s">
        <v>288</v>
      </c>
      <c r="D107" s="94" t="s">
        <v>280</v>
      </c>
      <c r="E107" s="286">
        <v>49</v>
      </c>
      <c r="F107" s="286">
        <v>0</v>
      </c>
      <c r="G107" s="286">
        <v>0</v>
      </c>
      <c r="H107" s="286">
        <v>0</v>
      </c>
      <c r="I107" s="286">
        <v>0</v>
      </c>
      <c r="J107" s="284">
        <f t="shared" si="8"/>
        <v>49</v>
      </c>
      <c r="K107" s="65">
        <v>0</v>
      </c>
      <c r="L107" s="69">
        <f t="shared" si="9"/>
        <v>0</v>
      </c>
    </row>
    <row r="108" spans="1:36" ht="24.95" customHeight="1" x14ac:dyDescent="0.2">
      <c r="A108" s="30"/>
      <c r="B108" s="90" t="s">
        <v>294</v>
      </c>
      <c r="C108" s="90" t="s">
        <v>293</v>
      </c>
      <c r="D108" s="93" t="s">
        <v>278</v>
      </c>
      <c r="E108" s="286">
        <v>106</v>
      </c>
      <c r="F108" s="286">
        <v>0</v>
      </c>
      <c r="G108" s="286">
        <v>0</v>
      </c>
      <c r="H108" s="286">
        <v>0</v>
      </c>
      <c r="I108" s="286">
        <v>0</v>
      </c>
      <c r="J108" s="284">
        <f t="shared" si="8"/>
        <v>106</v>
      </c>
      <c r="K108" s="65">
        <v>0</v>
      </c>
      <c r="L108" s="69">
        <f t="shared" si="9"/>
        <v>0</v>
      </c>
    </row>
    <row r="109" spans="1:36" ht="24.95" customHeight="1" x14ac:dyDescent="0.2">
      <c r="A109" s="30"/>
      <c r="B109" s="90" t="s">
        <v>340</v>
      </c>
      <c r="C109" s="90" t="s">
        <v>295</v>
      </c>
      <c r="D109" s="93" t="s">
        <v>278</v>
      </c>
      <c r="E109" s="286">
        <v>48</v>
      </c>
      <c r="F109" s="286">
        <v>0</v>
      </c>
      <c r="G109" s="257">
        <v>0</v>
      </c>
      <c r="H109" s="257">
        <v>883</v>
      </c>
      <c r="I109" s="286">
        <v>0</v>
      </c>
      <c r="J109" s="284">
        <f t="shared" si="8"/>
        <v>931</v>
      </c>
      <c r="K109" s="65">
        <v>0</v>
      </c>
      <c r="L109" s="69">
        <f t="shared" si="9"/>
        <v>0</v>
      </c>
    </row>
    <row r="110" spans="1:36" ht="24.95" customHeight="1" x14ac:dyDescent="0.2">
      <c r="A110" s="30"/>
      <c r="B110" s="405" t="s">
        <v>298</v>
      </c>
      <c r="C110" s="405"/>
      <c r="D110" s="21"/>
      <c r="E110" s="290">
        <f>SUM(E101:E109)</f>
        <v>325</v>
      </c>
      <c r="F110" s="290"/>
      <c r="G110" s="290">
        <f>SUM(G101:G109)</f>
        <v>0</v>
      </c>
      <c r="H110" s="290">
        <f>SUM(H101:H109)</f>
        <v>2264</v>
      </c>
      <c r="I110" s="290"/>
      <c r="J110" s="290">
        <f>SUM(J101:J109)</f>
        <v>2589</v>
      </c>
      <c r="K110" s="21"/>
      <c r="L110" s="66">
        <f>SUM(L101:L109)</f>
        <v>0</v>
      </c>
    </row>
    <row r="111" spans="1:36" ht="24.95" customHeight="1" x14ac:dyDescent="0.2">
      <c r="A111" s="30"/>
      <c r="B111" s="470" t="s">
        <v>302</v>
      </c>
      <c r="C111" s="470"/>
      <c r="D111" s="470"/>
      <c r="E111" s="470"/>
      <c r="F111" s="470"/>
      <c r="G111" s="470"/>
      <c r="H111" s="470"/>
      <c r="I111" s="470"/>
      <c r="J111" s="470"/>
      <c r="K111" s="470"/>
      <c r="L111" s="470"/>
    </row>
    <row r="112" spans="1:36" s="1" customFormat="1" ht="24.95" customHeight="1" x14ac:dyDescent="0.2">
      <c r="A112" s="30"/>
      <c r="B112" s="90" t="s">
        <v>305</v>
      </c>
      <c r="C112" s="90" t="s">
        <v>306</v>
      </c>
      <c r="D112" s="84" t="s">
        <v>296</v>
      </c>
      <c r="E112" s="257">
        <v>18</v>
      </c>
      <c r="F112" s="257">
        <v>0</v>
      </c>
      <c r="G112" s="257">
        <v>0</v>
      </c>
      <c r="H112" s="257">
        <v>0</v>
      </c>
      <c r="I112" s="257">
        <v>0</v>
      </c>
      <c r="J112" s="284">
        <f>SUM(E112:I112)</f>
        <v>18</v>
      </c>
      <c r="K112" s="65">
        <v>0</v>
      </c>
      <c r="L112" s="69">
        <f t="shared" ref="L112:L114" si="11">J112*K112</f>
        <v>0</v>
      </c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</row>
    <row r="113" spans="1:36" s="1" customFormat="1" ht="24.95" customHeight="1" x14ac:dyDescent="0.2">
      <c r="A113" s="30"/>
      <c r="B113" s="90" t="s">
        <v>311</v>
      </c>
      <c r="C113" s="90" t="s">
        <v>312</v>
      </c>
      <c r="D113" s="84" t="s">
        <v>296</v>
      </c>
      <c r="E113" s="257">
        <v>0</v>
      </c>
      <c r="F113" s="257">
        <v>0</v>
      </c>
      <c r="G113" s="257">
        <v>3</v>
      </c>
      <c r="H113" s="257">
        <v>3</v>
      </c>
      <c r="I113" s="257">
        <v>0</v>
      </c>
      <c r="J113" s="284">
        <f>SUM(E113:I113)</f>
        <v>6</v>
      </c>
      <c r="K113" s="65">
        <v>0</v>
      </c>
      <c r="L113" s="69">
        <f t="shared" si="11"/>
        <v>0</v>
      </c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</row>
    <row r="114" spans="1:36" s="1" customFormat="1" ht="24.95" customHeight="1" x14ac:dyDescent="0.2">
      <c r="A114" s="30"/>
      <c r="B114" s="91" t="s">
        <v>313</v>
      </c>
      <c r="C114" s="91" t="s">
        <v>314</v>
      </c>
      <c r="D114" s="95" t="s">
        <v>273</v>
      </c>
      <c r="E114" s="257">
        <v>1</v>
      </c>
      <c r="F114" s="257">
        <v>0</v>
      </c>
      <c r="G114" s="257">
        <v>0</v>
      </c>
      <c r="H114" s="257">
        <v>0</v>
      </c>
      <c r="I114" s="257">
        <v>0</v>
      </c>
      <c r="J114" s="284">
        <f>SUM(E114:I114)</f>
        <v>1</v>
      </c>
      <c r="K114" s="65">
        <v>0</v>
      </c>
      <c r="L114" s="69">
        <f t="shared" si="11"/>
        <v>0</v>
      </c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</row>
    <row r="115" spans="1:36" s="302" customFormat="1" ht="24.95" customHeight="1" x14ac:dyDescent="0.2">
      <c r="A115" s="286"/>
      <c r="B115" s="297" t="s">
        <v>309</v>
      </c>
      <c r="C115" s="297" t="s">
        <v>310</v>
      </c>
      <c r="D115" s="296" t="s">
        <v>273</v>
      </c>
      <c r="E115" s="257">
        <v>0</v>
      </c>
      <c r="F115" s="257">
        <v>0</v>
      </c>
      <c r="G115" s="257">
        <v>3</v>
      </c>
      <c r="H115" s="257">
        <v>0</v>
      </c>
      <c r="I115" s="257">
        <v>0</v>
      </c>
      <c r="J115" s="257">
        <f>SUM(E115:I115)</f>
        <v>3</v>
      </c>
      <c r="K115" s="299">
        <v>0</v>
      </c>
      <c r="L115" s="272">
        <f>J115*K115</f>
        <v>0</v>
      </c>
      <c r="M115" s="301"/>
      <c r="N115" s="301"/>
      <c r="O115" s="301"/>
      <c r="P115" s="301"/>
      <c r="Q115" s="301"/>
      <c r="R115" s="301"/>
      <c r="S115" s="301"/>
      <c r="T115" s="301"/>
      <c r="U115" s="301"/>
      <c r="V115" s="301"/>
      <c r="W115" s="301"/>
      <c r="X115" s="301"/>
      <c r="Y115" s="301"/>
      <c r="Z115" s="301"/>
      <c r="AA115" s="301"/>
      <c r="AB115" s="301"/>
      <c r="AC115" s="301"/>
      <c r="AD115" s="301"/>
      <c r="AE115" s="301"/>
      <c r="AF115" s="301"/>
      <c r="AG115" s="301"/>
      <c r="AH115" s="301"/>
      <c r="AI115" s="301"/>
      <c r="AJ115" s="301"/>
    </row>
    <row r="116" spans="1:36" ht="24.95" customHeight="1" x14ac:dyDescent="0.2">
      <c r="A116" s="30"/>
      <c r="B116" s="405" t="s">
        <v>303</v>
      </c>
      <c r="C116" s="405"/>
      <c r="D116" s="21"/>
      <c r="E116" s="290">
        <f>SUM(E112:E115)</f>
        <v>19</v>
      </c>
      <c r="F116" s="290"/>
      <c r="G116" s="290">
        <f>SUM(G112:G115)</f>
        <v>6</v>
      </c>
      <c r="H116" s="290">
        <f>SUM(H112:H115)</f>
        <v>3</v>
      </c>
      <c r="I116" s="290"/>
      <c r="J116" s="290">
        <f>SUM(J112:J115)</f>
        <v>28</v>
      </c>
      <c r="K116" s="21"/>
      <c r="L116" s="66">
        <f>SUM(L112:L115)</f>
        <v>0</v>
      </c>
    </row>
    <row r="117" spans="1:36" s="34" customFormat="1" ht="24.95" customHeight="1" x14ac:dyDescent="0.2">
      <c r="A117" s="404"/>
      <c r="B117" s="400" t="s">
        <v>1</v>
      </c>
      <c r="C117" s="400" t="s">
        <v>2</v>
      </c>
      <c r="D117" s="401" t="s">
        <v>3</v>
      </c>
      <c r="E117" s="406" t="s">
        <v>114</v>
      </c>
      <c r="F117" s="406"/>
      <c r="G117" s="406"/>
      <c r="H117" s="406"/>
      <c r="I117" s="406"/>
      <c r="J117" s="406"/>
      <c r="K117" s="372" t="s">
        <v>4</v>
      </c>
      <c r="L117" s="391" t="s">
        <v>115</v>
      </c>
      <c r="M117" s="129"/>
      <c r="N117" s="129"/>
      <c r="O117" s="129"/>
      <c r="P117" s="129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  <c r="AG117" s="129"/>
      <c r="AH117" s="129"/>
      <c r="AI117" s="129"/>
      <c r="AJ117" s="129"/>
    </row>
    <row r="118" spans="1:36" ht="24.95" customHeight="1" x14ac:dyDescent="0.2">
      <c r="A118" s="404"/>
      <c r="B118" s="400"/>
      <c r="C118" s="400"/>
      <c r="D118" s="401"/>
      <c r="E118" s="259" t="s">
        <v>245</v>
      </c>
      <c r="F118" s="259" t="s">
        <v>246</v>
      </c>
      <c r="G118" s="259" t="s">
        <v>341</v>
      </c>
      <c r="H118" s="259" t="s">
        <v>342</v>
      </c>
      <c r="I118" s="259" t="s">
        <v>343</v>
      </c>
      <c r="J118" s="292" t="s">
        <v>8</v>
      </c>
      <c r="K118" s="372"/>
      <c r="L118" s="391"/>
    </row>
    <row r="119" spans="1:36" ht="24.95" customHeight="1" x14ac:dyDescent="0.2">
      <c r="A119" s="30"/>
      <c r="B119" s="470" t="s">
        <v>315</v>
      </c>
      <c r="C119" s="470"/>
      <c r="D119" s="470"/>
      <c r="E119" s="470"/>
      <c r="F119" s="470"/>
      <c r="G119" s="470"/>
      <c r="H119" s="470"/>
      <c r="I119" s="470"/>
      <c r="J119" s="470"/>
      <c r="K119" s="470"/>
      <c r="L119" s="470"/>
    </row>
    <row r="120" spans="1:36" s="269" customFormat="1" ht="24.95" customHeight="1" x14ac:dyDescent="0.2">
      <c r="A120" s="286"/>
      <c r="B120" s="298" t="s">
        <v>317</v>
      </c>
      <c r="C120" s="298" t="s">
        <v>304</v>
      </c>
      <c r="D120" s="296" t="s">
        <v>278</v>
      </c>
      <c r="E120" s="257">
        <v>39</v>
      </c>
      <c r="F120" s="257">
        <v>0</v>
      </c>
      <c r="G120" s="257">
        <v>0</v>
      </c>
      <c r="H120" s="257">
        <v>0</v>
      </c>
      <c r="I120" s="257">
        <v>0</v>
      </c>
      <c r="J120" s="257">
        <f>SUM(E120:I120)</f>
        <v>39</v>
      </c>
      <c r="K120" s="299">
        <v>0</v>
      </c>
      <c r="L120" s="272">
        <f>J120*K120</f>
        <v>0</v>
      </c>
      <c r="M120" s="268"/>
      <c r="N120" s="268"/>
      <c r="O120" s="268"/>
      <c r="P120" s="268"/>
      <c r="Q120" s="268"/>
      <c r="R120" s="268"/>
      <c r="S120" s="268"/>
      <c r="T120" s="268"/>
      <c r="U120" s="268"/>
      <c r="V120" s="268"/>
      <c r="W120" s="268"/>
      <c r="X120" s="268"/>
      <c r="Y120" s="268"/>
      <c r="Z120" s="268"/>
      <c r="AA120" s="268"/>
      <c r="AB120" s="268"/>
      <c r="AC120" s="268"/>
      <c r="AD120" s="268"/>
      <c r="AE120" s="268"/>
      <c r="AF120" s="268"/>
      <c r="AG120" s="268"/>
      <c r="AH120" s="268"/>
      <c r="AI120" s="268"/>
      <c r="AJ120" s="268"/>
    </row>
    <row r="121" spans="1:36" s="269" customFormat="1" ht="24.95" customHeight="1" x14ac:dyDescent="0.2">
      <c r="A121" s="286"/>
      <c r="B121" s="300" t="s">
        <v>347</v>
      </c>
      <c r="C121" s="300" t="s">
        <v>348</v>
      </c>
      <c r="D121" s="296" t="s">
        <v>296</v>
      </c>
      <c r="E121" s="257">
        <v>0</v>
      </c>
      <c r="F121" s="257">
        <v>0</v>
      </c>
      <c r="G121" s="257">
        <v>0</v>
      </c>
      <c r="H121" s="257">
        <v>25</v>
      </c>
      <c r="I121" s="257">
        <v>0</v>
      </c>
      <c r="J121" s="257">
        <f>SUM(E121:I121)</f>
        <v>25</v>
      </c>
      <c r="K121" s="299">
        <v>0</v>
      </c>
      <c r="L121" s="272">
        <f t="shared" ref="L121:L123" si="12">J121*K121</f>
        <v>0</v>
      </c>
      <c r="M121" s="268"/>
      <c r="N121" s="268"/>
      <c r="O121" s="268"/>
      <c r="P121" s="268"/>
      <c r="Q121" s="268"/>
      <c r="R121" s="268"/>
      <c r="S121" s="268"/>
      <c r="T121" s="268"/>
      <c r="U121" s="268"/>
      <c r="V121" s="268"/>
      <c r="W121" s="268"/>
      <c r="X121" s="268"/>
      <c r="Y121" s="268"/>
      <c r="Z121" s="268"/>
      <c r="AA121" s="268"/>
      <c r="AB121" s="268"/>
      <c r="AC121" s="268"/>
      <c r="AD121" s="268"/>
      <c r="AE121" s="268"/>
      <c r="AF121" s="268"/>
      <c r="AG121" s="268"/>
      <c r="AH121" s="268"/>
      <c r="AI121" s="268"/>
      <c r="AJ121" s="268"/>
    </row>
    <row r="122" spans="1:36" s="269" customFormat="1" ht="24.95" customHeight="1" x14ac:dyDescent="0.2">
      <c r="A122" s="286"/>
      <c r="B122" s="298" t="s">
        <v>307</v>
      </c>
      <c r="C122" s="298" t="s">
        <v>308</v>
      </c>
      <c r="D122" s="296" t="s">
        <v>296</v>
      </c>
      <c r="E122" s="294">
        <v>0</v>
      </c>
      <c r="F122" s="257">
        <v>0</v>
      </c>
      <c r="G122" s="257">
        <v>0</v>
      </c>
      <c r="H122" s="257">
        <v>20</v>
      </c>
      <c r="I122" s="257">
        <v>0</v>
      </c>
      <c r="J122" s="257">
        <f>SUM(E122:I122)</f>
        <v>20</v>
      </c>
      <c r="K122" s="299">
        <v>0</v>
      </c>
      <c r="L122" s="272">
        <f t="shared" si="12"/>
        <v>0</v>
      </c>
      <c r="M122" s="268"/>
      <c r="N122" s="268"/>
      <c r="O122" s="268"/>
      <c r="P122" s="268"/>
      <c r="Q122" s="268"/>
      <c r="R122" s="268"/>
      <c r="S122" s="268"/>
      <c r="T122" s="268"/>
      <c r="U122" s="268"/>
      <c r="V122" s="268"/>
      <c r="W122" s="268"/>
      <c r="X122" s="268"/>
      <c r="Y122" s="268"/>
      <c r="Z122" s="268"/>
      <c r="AA122" s="268"/>
      <c r="AB122" s="268"/>
      <c r="AC122" s="268"/>
      <c r="AD122" s="268"/>
      <c r="AE122" s="268"/>
      <c r="AF122" s="268"/>
      <c r="AG122" s="268"/>
      <c r="AH122" s="268"/>
      <c r="AI122" s="268"/>
      <c r="AJ122" s="268"/>
    </row>
    <row r="123" spans="1:36" s="269" customFormat="1" ht="24.95" customHeight="1" x14ac:dyDescent="0.2">
      <c r="A123" s="286"/>
      <c r="B123" s="300" t="s">
        <v>311</v>
      </c>
      <c r="C123" s="300" t="s">
        <v>312</v>
      </c>
      <c r="D123" s="296" t="s">
        <v>296</v>
      </c>
      <c r="E123" s="294">
        <v>0</v>
      </c>
      <c r="F123" s="257">
        <v>0</v>
      </c>
      <c r="G123" s="257">
        <v>0</v>
      </c>
      <c r="H123" s="257">
        <v>0</v>
      </c>
      <c r="I123" s="257">
        <v>0</v>
      </c>
      <c r="J123" s="257">
        <f>SUM(E123:I123)</f>
        <v>0</v>
      </c>
      <c r="K123" s="299">
        <v>0</v>
      </c>
      <c r="L123" s="272">
        <f t="shared" si="12"/>
        <v>0</v>
      </c>
      <c r="M123" s="268"/>
      <c r="N123" s="268"/>
      <c r="O123" s="268"/>
      <c r="P123" s="268"/>
      <c r="Q123" s="268"/>
      <c r="R123" s="268"/>
      <c r="S123" s="268"/>
      <c r="T123" s="268"/>
      <c r="U123" s="268"/>
      <c r="V123" s="268"/>
      <c r="W123" s="268"/>
      <c r="X123" s="268"/>
      <c r="Y123" s="268"/>
      <c r="Z123" s="268"/>
      <c r="AA123" s="268"/>
      <c r="AB123" s="268"/>
      <c r="AC123" s="268"/>
      <c r="AD123" s="268"/>
      <c r="AE123" s="268"/>
      <c r="AF123" s="268"/>
      <c r="AG123" s="268"/>
      <c r="AH123" s="268"/>
      <c r="AI123" s="268"/>
      <c r="AJ123" s="268"/>
    </row>
    <row r="124" spans="1:36" s="269" customFormat="1" ht="24.95" customHeight="1" x14ac:dyDescent="0.2">
      <c r="A124" s="286"/>
      <c r="B124" s="471" t="s">
        <v>316</v>
      </c>
      <c r="C124" s="471"/>
      <c r="D124" s="303"/>
      <c r="E124" s="290">
        <f>SUM(E120:E123)</f>
        <v>39</v>
      </c>
      <c r="F124" s="290"/>
      <c r="G124" s="290"/>
      <c r="H124" s="290">
        <f>SUM(H120:H123)</f>
        <v>45</v>
      </c>
      <c r="I124" s="290"/>
      <c r="J124" s="290">
        <f>SUM(J120:J123)</f>
        <v>84</v>
      </c>
      <c r="K124" s="303"/>
      <c r="L124" s="304">
        <f>SUM(L120:L123)</f>
        <v>0</v>
      </c>
      <c r="M124" s="268"/>
      <c r="N124" s="268"/>
      <c r="O124" s="268"/>
      <c r="P124" s="268"/>
      <c r="Q124" s="268"/>
      <c r="R124" s="268"/>
      <c r="S124" s="268"/>
      <c r="T124" s="268"/>
      <c r="U124" s="268"/>
      <c r="V124" s="268"/>
      <c r="W124" s="268"/>
      <c r="X124" s="268"/>
      <c r="Y124" s="268"/>
      <c r="Z124" s="268"/>
      <c r="AA124" s="268"/>
      <c r="AB124" s="268"/>
      <c r="AC124" s="268"/>
      <c r="AD124" s="268"/>
      <c r="AE124" s="268"/>
      <c r="AF124" s="268"/>
      <c r="AG124" s="268"/>
      <c r="AH124" s="268"/>
      <c r="AI124" s="268"/>
      <c r="AJ124" s="268"/>
    </row>
    <row r="125" spans="1:36" ht="24.95" customHeight="1" x14ac:dyDescent="0.2">
      <c r="A125" s="30"/>
      <c r="B125" s="470" t="s">
        <v>220</v>
      </c>
      <c r="C125" s="470"/>
      <c r="D125" s="470"/>
      <c r="E125" s="470"/>
      <c r="F125" s="470"/>
      <c r="G125" s="470"/>
      <c r="H125" s="470"/>
      <c r="I125" s="470"/>
      <c r="J125" s="470"/>
      <c r="K125" s="470"/>
      <c r="L125" s="470"/>
    </row>
    <row r="126" spans="1:36" ht="24.95" customHeight="1" x14ac:dyDescent="0.2">
      <c r="A126" s="30"/>
      <c r="B126" s="295" t="s">
        <v>352</v>
      </c>
      <c r="C126" s="295" t="s">
        <v>353</v>
      </c>
      <c r="D126" s="93" t="s">
        <v>283</v>
      </c>
      <c r="E126" s="286">
        <v>0</v>
      </c>
      <c r="F126" s="286">
        <v>0</v>
      </c>
      <c r="G126" s="286">
        <v>0</v>
      </c>
      <c r="H126" s="305">
        <v>32</v>
      </c>
      <c r="I126" s="286">
        <v>0</v>
      </c>
      <c r="J126" s="284">
        <f>SUM(E126:I126)</f>
        <v>32</v>
      </c>
      <c r="K126" s="65">
        <v>0</v>
      </c>
      <c r="L126" s="69">
        <f t="shared" ref="L126:L131" si="13">J126*K126</f>
        <v>0</v>
      </c>
    </row>
    <row r="127" spans="1:36" ht="24.95" customHeight="1" x14ac:dyDescent="0.2">
      <c r="A127" s="30"/>
      <c r="B127" s="295" t="s">
        <v>354</v>
      </c>
      <c r="C127" s="295" t="s">
        <v>318</v>
      </c>
      <c r="D127" s="93" t="s">
        <v>283</v>
      </c>
      <c r="E127" s="286">
        <v>0</v>
      </c>
      <c r="F127" s="286">
        <v>0</v>
      </c>
      <c r="G127" s="286">
        <v>0</v>
      </c>
      <c r="H127" s="305">
        <v>30</v>
      </c>
      <c r="I127" s="286">
        <v>0</v>
      </c>
      <c r="J127" s="284">
        <f t="shared" ref="J127:J131" si="14">SUM(E127:I127)</f>
        <v>30</v>
      </c>
      <c r="K127" s="65">
        <v>0</v>
      </c>
      <c r="L127" s="69">
        <f t="shared" si="13"/>
        <v>0</v>
      </c>
    </row>
    <row r="128" spans="1:36" ht="24.95" customHeight="1" x14ac:dyDescent="0.2">
      <c r="A128" s="30"/>
      <c r="B128" s="295" t="s">
        <v>355</v>
      </c>
      <c r="C128" s="295" t="s">
        <v>356</v>
      </c>
      <c r="D128" s="93" t="s">
        <v>283</v>
      </c>
      <c r="E128" s="286">
        <v>0</v>
      </c>
      <c r="F128" s="286">
        <v>0</v>
      </c>
      <c r="G128" s="286">
        <v>0</v>
      </c>
      <c r="H128" s="305">
        <v>26</v>
      </c>
      <c r="I128" s="286">
        <v>0</v>
      </c>
      <c r="J128" s="284">
        <f t="shared" si="14"/>
        <v>26</v>
      </c>
      <c r="K128" s="65">
        <v>0</v>
      </c>
      <c r="L128" s="69">
        <f t="shared" si="13"/>
        <v>0</v>
      </c>
    </row>
    <row r="129" spans="1:36" ht="24.95" customHeight="1" x14ac:dyDescent="0.2">
      <c r="A129" s="30"/>
      <c r="B129" s="295" t="s">
        <v>357</v>
      </c>
      <c r="C129" s="295" t="s">
        <v>6</v>
      </c>
      <c r="D129" s="93" t="s">
        <v>283</v>
      </c>
      <c r="E129" s="286">
        <v>0</v>
      </c>
      <c r="F129" s="286">
        <v>0</v>
      </c>
      <c r="G129" s="286">
        <v>0</v>
      </c>
      <c r="H129" s="305">
        <v>194</v>
      </c>
      <c r="I129" s="286">
        <v>0</v>
      </c>
      <c r="J129" s="284">
        <f t="shared" si="14"/>
        <v>194</v>
      </c>
      <c r="K129" s="65">
        <v>0</v>
      </c>
      <c r="L129" s="69">
        <f t="shared" si="13"/>
        <v>0</v>
      </c>
    </row>
    <row r="130" spans="1:36" ht="24.95" customHeight="1" x14ac:dyDescent="0.2">
      <c r="A130" s="30"/>
      <c r="B130" s="295" t="s">
        <v>358</v>
      </c>
      <c r="C130" s="295" t="s">
        <v>359</v>
      </c>
      <c r="D130" s="93" t="s">
        <v>283</v>
      </c>
      <c r="E130" s="286">
        <v>0</v>
      </c>
      <c r="F130" s="286">
        <v>0</v>
      </c>
      <c r="G130" s="286">
        <v>0</v>
      </c>
      <c r="H130" s="305">
        <v>37</v>
      </c>
      <c r="I130" s="286">
        <v>0</v>
      </c>
      <c r="J130" s="284">
        <f t="shared" si="14"/>
        <v>37</v>
      </c>
      <c r="K130" s="65">
        <v>0</v>
      </c>
      <c r="L130" s="69">
        <f t="shared" si="13"/>
        <v>0</v>
      </c>
    </row>
    <row r="131" spans="1:36" ht="24.95" customHeight="1" x14ac:dyDescent="0.2">
      <c r="A131" s="30"/>
      <c r="B131" s="295" t="s">
        <v>360</v>
      </c>
      <c r="C131" s="295" t="s">
        <v>361</v>
      </c>
      <c r="D131" s="93" t="s">
        <v>283</v>
      </c>
      <c r="E131" s="286">
        <v>0</v>
      </c>
      <c r="F131" s="286">
        <v>0</v>
      </c>
      <c r="G131" s="286">
        <v>0</v>
      </c>
      <c r="H131" s="305">
        <v>32</v>
      </c>
      <c r="I131" s="286">
        <v>0</v>
      </c>
      <c r="J131" s="284">
        <f t="shared" si="14"/>
        <v>32</v>
      </c>
      <c r="K131" s="65">
        <v>0</v>
      </c>
      <c r="L131" s="69">
        <f t="shared" si="13"/>
        <v>0</v>
      </c>
    </row>
    <row r="132" spans="1:36" ht="24.95" customHeight="1" x14ac:dyDescent="0.2">
      <c r="A132" s="30"/>
      <c r="B132" s="405" t="s">
        <v>221</v>
      </c>
      <c r="C132" s="405"/>
      <c r="D132" s="21"/>
      <c r="E132" s="303"/>
      <c r="F132" s="303"/>
      <c r="G132" s="303"/>
      <c r="H132" s="290">
        <f>SUM(H126:H131)</f>
        <v>351</v>
      </c>
      <c r="I132" s="303"/>
      <c r="J132" s="290">
        <f>SUM(J126:J131)</f>
        <v>351</v>
      </c>
      <c r="K132" s="21"/>
      <c r="L132" s="66">
        <f>SUM(L126:L131)</f>
        <v>0</v>
      </c>
    </row>
    <row r="133" spans="1:36" ht="24.95" customHeight="1" x14ac:dyDescent="0.2">
      <c r="A133" s="30"/>
      <c r="B133" s="441" t="s">
        <v>240</v>
      </c>
      <c r="C133" s="441"/>
      <c r="D133" s="77" t="s">
        <v>241</v>
      </c>
      <c r="E133" s="227"/>
      <c r="F133" s="227"/>
      <c r="G133" s="227"/>
      <c r="H133" s="227"/>
      <c r="I133" s="227"/>
      <c r="J133" s="227"/>
      <c r="K133" s="21"/>
      <c r="L133" s="66">
        <f>(L132+L124+L116+L110+L97+L80+L71)*0.1</f>
        <v>0</v>
      </c>
    </row>
    <row r="134" spans="1:36" s="49" customFormat="1" ht="35.1" customHeight="1" x14ac:dyDescent="0.2">
      <c r="A134" s="50"/>
      <c r="B134" s="472" t="s">
        <v>5</v>
      </c>
      <c r="C134" s="472" t="s">
        <v>6</v>
      </c>
      <c r="D134" s="472"/>
      <c r="E134" s="472"/>
      <c r="F134" s="472"/>
      <c r="G134" s="472"/>
      <c r="H134" s="472"/>
      <c r="I134" s="472"/>
      <c r="J134" s="472"/>
      <c r="K134" s="472"/>
      <c r="L134" s="117">
        <f>SUM(L133,L132,L124,L116,L110,L97,L80,L71)</f>
        <v>0</v>
      </c>
      <c r="M134" s="128"/>
      <c r="N134" s="128"/>
      <c r="O134" s="128"/>
      <c r="P134" s="128"/>
      <c r="Q134" s="128"/>
      <c r="R134" s="128"/>
      <c r="S134" s="128"/>
      <c r="T134" s="128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  <c r="AI134" s="128"/>
      <c r="AJ134" s="128"/>
    </row>
    <row r="135" spans="1:36" s="243" customFormat="1" ht="35.1" customHeight="1" x14ac:dyDescent="0.2">
      <c r="A135" s="241"/>
      <c r="B135" s="469" t="s">
        <v>397</v>
      </c>
      <c r="C135" s="469"/>
      <c r="D135" s="469"/>
      <c r="E135" s="469"/>
      <c r="F135" s="469"/>
      <c r="G135" s="469"/>
      <c r="H135" s="469"/>
      <c r="I135" s="469"/>
      <c r="J135" s="469"/>
      <c r="K135" s="469"/>
      <c r="L135" s="469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  <c r="X135" s="242"/>
      <c r="Y135" s="242"/>
      <c r="Z135" s="242"/>
      <c r="AA135" s="242"/>
      <c r="AB135" s="242"/>
      <c r="AC135" s="242"/>
      <c r="AD135" s="242"/>
      <c r="AE135" s="242"/>
      <c r="AF135" s="242"/>
      <c r="AG135" s="242"/>
      <c r="AH135" s="242"/>
      <c r="AI135" s="242"/>
      <c r="AJ135" s="242"/>
    </row>
    <row r="136" spans="1:36" s="35" customFormat="1" ht="24.95" customHeight="1" x14ac:dyDescent="0.25">
      <c r="A136" s="369"/>
      <c r="B136" s="370" t="s">
        <v>7</v>
      </c>
      <c r="C136" s="370"/>
      <c r="D136" s="370" t="s">
        <v>194</v>
      </c>
      <c r="E136" s="371" t="s">
        <v>114</v>
      </c>
      <c r="F136" s="371"/>
      <c r="G136" s="371"/>
      <c r="H136" s="371"/>
      <c r="I136" s="371"/>
      <c r="J136" s="371"/>
      <c r="K136" s="372" t="s">
        <v>4</v>
      </c>
      <c r="L136" s="391" t="s">
        <v>115</v>
      </c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0"/>
    </row>
    <row r="137" spans="1:36" s="6" customFormat="1" ht="24.95" customHeight="1" x14ac:dyDescent="0.25">
      <c r="A137" s="369"/>
      <c r="B137" s="370"/>
      <c r="C137" s="370"/>
      <c r="D137" s="370"/>
      <c r="E137" s="259" t="s">
        <v>245</v>
      </c>
      <c r="F137" s="259" t="s">
        <v>246</v>
      </c>
      <c r="G137" s="259" t="s">
        <v>341</v>
      </c>
      <c r="H137" s="259" t="s">
        <v>342</v>
      </c>
      <c r="I137" s="259" t="s">
        <v>343</v>
      </c>
      <c r="J137" s="262" t="s">
        <v>8</v>
      </c>
      <c r="K137" s="372"/>
      <c r="L137" s="391"/>
      <c r="M137" s="131"/>
      <c r="N137" s="131"/>
      <c r="O137" s="131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131"/>
      <c r="AH137" s="131"/>
      <c r="AI137" s="131"/>
      <c r="AJ137" s="131"/>
    </row>
    <row r="138" spans="1:36" s="246" customFormat="1" ht="24.95" customHeight="1" x14ac:dyDescent="0.25">
      <c r="A138" s="244"/>
      <c r="B138" s="462" t="s">
        <v>118</v>
      </c>
      <c r="C138" s="462"/>
      <c r="D138" s="462"/>
      <c r="E138" s="462"/>
      <c r="F138" s="462"/>
      <c r="G138" s="462"/>
      <c r="H138" s="462"/>
      <c r="I138" s="462"/>
      <c r="J138" s="462"/>
      <c r="K138" s="462"/>
      <c r="L138" s="462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  <c r="X138" s="245"/>
      <c r="Y138" s="245"/>
      <c r="Z138" s="245"/>
      <c r="AA138" s="245"/>
      <c r="AB138" s="245"/>
      <c r="AC138" s="245"/>
      <c r="AD138" s="245"/>
      <c r="AE138" s="245"/>
      <c r="AF138" s="245"/>
      <c r="AG138" s="245"/>
      <c r="AH138" s="245"/>
      <c r="AI138" s="245"/>
      <c r="AJ138" s="245"/>
    </row>
    <row r="139" spans="1:36" s="6" customFormat="1" ht="24.95" customHeight="1" x14ac:dyDescent="0.25">
      <c r="A139" s="11"/>
      <c r="B139" s="409" t="s">
        <v>196</v>
      </c>
      <c r="C139" s="373"/>
      <c r="D139" s="373"/>
      <c r="E139" s="373"/>
      <c r="F139" s="373"/>
      <c r="G139" s="373"/>
      <c r="H139" s="373"/>
      <c r="I139" s="373"/>
      <c r="J139" s="373"/>
      <c r="K139" s="373"/>
      <c r="L139" s="373"/>
      <c r="M139" s="131"/>
      <c r="N139" s="131"/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  <c r="AA139" s="131"/>
      <c r="AB139" s="131"/>
      <c r="AC139" s="131"/>
      <c r="AD139" s="131"/>
      <c r="AE139" s="131"/>
      <c r="AF139" s="131"/>
      <c r="AG139" s="131"/>
      <c r="AH139" s="131"/>
      <c r="AI139" s="131"/>
      <c r="AJ139" s="131"/>
    </row>
    <row r="140" spans="1:36" s="6" customFormat="1" ht="24.95" customHeight="1" x14ac:dyDescent="0.25">
      <c r="A140" s="37" t="s">
        <v>116</v>
      </c>
      <c r="B140" s="402" t="s">
        <v>117</v>
      </c>
      <c r="C140" s="403"/>
      <c r="D140" s="11" t="s">
        <v>9</v>
      </c>
      <c r="E140" s="257">
        <v>1</v>
      </c>
      <c r="F140" s="257">
        <v>15</v>
      </c>
      <c r="G140" s="257">
        <v>1</v>
      </c>
      <c r="H140" s="257">
        <v>1</v>
      </c>
      <c r="I140" s="257">
        <v>15</v>
      </c>
      <c r="J140" s="284">
        <f>SUM(E140:I140)</f>
        <v>33</v>
      </c>
      <c r="K140" s="44">
        <v>0</v>
      </c>
      <c r="L140" s="67">
        <f>J140*K140</f>
        <v>0</v>
      </c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131"/>
      <c r="AJ140" s="131"/>
    </row>
    <row r="141" spans="1:36" s="6" customFormat="1" ht="24.95" customHeight="1" x14ac:dyDescent="0.25">
      <c r="A141" s="11" t="s">
        <v>39</v>
      </c>
      <c r="B141" s="402" t="s">
        <v>184</v>
      </c>
      <c r="C141" s="403"/>
      <c r="D141" s="11" t="s">
        <v>9</v>
      </c>
      <c r="E141" s="257">
        <v>1</v>
      </c>
      <c r="F141" s="257">
        <v>15</v>
      </c>
      <c r="G141" s="257">
        <v>1</v>
      </c>
      <c r="H141" s="257">
        <v>1</v>
      </c>
      <c r="I141" s="257">
        <v>15</v>
      </c>
      <c r="J141" s="284">
        <f>SUM(E141:I141)</f>
        <v>33</v>
      </c>
      <c r="K141" s="44">
        <v>0</v>
      </c>
      <c r="L141" s="67">
        <f>J141*K141</f>
        <v>0</v>
      </c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31"/>
      <c r="AD141" s="131"/>
      <c r="AE141" s="131"/>
      <c r="AF141" s="131"/>
      <c r="AG141" s="131"/>
      <c r="AH141" s="131"/>
      <c r="AI141" s="131"/>
      <c r="AJ141" s="131"/>
    </row>
    <row r="142" spans="1:36" s="6" customFormat="1" ht="24.95" customHeight="1" x14ac:dyDescent="0.25">
      <c r="A142" s="16" t="s">
        <v>28</v>
      </c>
      <c r="B142" s="374" t="s">
        <v>189</v>
      </c>
      <c r="C142" s="374"/>
      <c r="D142" s="16" t="s">
        <v>15</v>
      </c>
      <c r="E142" s="258">
        <f t="shared" ref="E142:G142" si="15">E141*0.009</f>
        <v>8.9999999999999993E-3</v>
      </c>
      <c r="F142" s="258">
        <f t="shared" si="15"/>
        <v>0.13499999999999998</v>
      </c>
      <c r="G142" s="258">
        <f t="shared" si="15"/>
        <v>8.9999999999999993E-3</v>
      </c>
      <c r="H142" s="258">
        <f t="shared" ref="H142:I142" si="16">H141*0.009</f>
        <v>8.9999999999999993E-3</v>
      </c>
      <c r="I142" s="258">
        <f t="shared" si="16"/>
        <v>0.13499999999999998</v>
      </c>
      <c r="J142" s="284">
        <f>SUM(E142:I142)</f>
        <v>0.29699999999999999</v>
      </c>
      <c r="K142" s="282">
        <v>0</v>
      </c>
      <c r="L142" s="67">
        <f>J142*K142</f>
        <v>0</v>
      </c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</row>
    <row r="143" spans="1:36" s="6" customFormat="1" ht="24.95" customHeight="1" x14ac:dyDescent="0.25">
      <c r="A143" s="11"/>
      <c r="B143" s="405" t="s">
        <v>205</v>
      </c>
      <c r="C143" s="405"/>
      <c r="D143" s="9"/>
      <c r="E143" s="228"/>
      <c r="F143" s="228"/>
      <c r="G143" s="228"/>
      <c r="H143" s="228"/>
      <c r="I143" s="228"/>
      <c r="J143" s="228"/>
      <c r="K143" s="55"/>
      <c r="L143" s="66">
        <f>SUM(L140:L142)</f>
        <v>0</v>
      </c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</row>
    <row r="144" spans="1:36" s="6" customFormat="1" ht="24.95" customHeight="1" x14ac:dyDescent="0.25">
      <c r="A144" s="11"/>
      <c r="B144" s="409" t="s">
        <v>197</v>
      </c>
      <c r="C144" s="373"/>
      <c r="D144" s="373"/>
      <c r="E144" s="373"/>
      <c r="F144" s="373"/>
      <c r="G144" s="373"/>
      <c r="H144" s="373"/>
      <c r="I144" s="373"/>
      <c r="J144" s="373"/>
      <c r="K144" s="373"/>
      <c r="L144" s="373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</row>
    <row r="145" spans="1:36" s="6" customFormat="1" ht="24.95" customHeight="1" x14ac:dyDescent="0.25">
      <c r="A145" s="37" t="s">
        <v>123</v>
      </c>
      <c r="B145" s="409" t="s">
        <v>119</v>
      </c>
      <c r="C145" s="373"/>
      <c r="D145" s="11" t="s">
        <v>9</v>
      </c>
      <c r="E145" s="257">
        <v>4</v>
      </c>
      <c r="F145" s="257">
        <v>2</v>
      </c>
      <c r="G145" s="257">
        <v>0</v>
      </c>
      <c r="H145" s="257">
        <v>0</v>
      </c>
      <c r="I145" s="257">
        <v>0</v>
      </c>
      <c r="J145" s="284">
        <f>SUM(E145:I145)</f>
        <v>6</v>
      </c>
      <c r="K145" s="44">
        <v>0</v>
      </c>
      <c r="L145" s="67">
        <f>J145*K145</f>
        <v>0</v>
      </c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</row>
    <row r="146" spans="1:36" s="6" customFormat="1" ht="24.95" customHeight="1" x14ac:dyDescent="0.25">
      <c r="A146" s="11" t="s">
        <v>42</v>
      </c>
      <c r="B146" s="402" t="s">
        <v>185</v>
      </c>
      <c r="C146" s="403"/>
      <c r="D146" s="11" t="s">
        <v>9</v>
      </c>
      <c r="E146" s="257">
        <v>4</v>
      </c>
      <c r="F146" s="257">
        <v>2</v>
      </c>
      <c r="G146" s="257">
        <v>0</v>
      </c>
      <c r="H146" s="257">
        <v>0</v>
      </c>
      <c r="I146" s="257">
        <v>0</v>
      </c>
      <c r="J146" s="284">
        <f>SUM(E146:I146)</f>
        <v>6</v>
      </c>
      <c r="K146" s="44">
        <v>0</v>
      </c>
      <c r="L146" s="67">
        <f>J146*K146</f>
        <v>0</v>
      </c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</row>
    <row r="147" spans="1:36" s="6" customFormat="1" ht="24.95" customHeight="1" x14ac:dyDescent="0.25">
      <c r="A147" s="16" t="s">
        <v>28</v>
      </c>
      <c r="B147" s="374" t="s">
        <v>189</v>
      </c>
      <c r="C147" s="374"/>
      <c r="D147" s="16" t="s">
        <v>15</v>
      </c>
      <c r="E147" s="258">
        <f t="shared" ref="E147:F147" si="17">E146*0.014</f>
        <v>5.6000000000000001E-2</v>
      </c>
      <c r="F147" s="258">
        <f t="shared" si="17"/>
        <v>2.8000000000000001E-2</v>
      </c>
      <c r="G147" s="258">
        <f t="shared" ref="G147:I147" si="18">G146*0.014</f>
        <v>0</v>
      </c>
      <c r="H147" s="258">
        <f t="shared" si="18"/>
        <v>0</v>
      </c>
      <c r="I147" s="258">
        <f t="shared" si="18"/>
        <v>0</v>
      </c>
      <c r="J147" s="284">
        <f>SUM(E147:I147)</f>
        <v>8.4000000000000005E-2</v>
      </c>
      <c r="K147" s="282">
        <v>0</v>
      </c>
      <c r="L147" s="67">
        <f>J147*K147</f>
        <v>0</v>
      </c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</row>
    <row r="148" spans="1:36" s="6" customFormat="1" ht="24.95" customHeight="1" x14ac:dyDescent="0.25">
      <c r="A148" s="11"/>
      <c r="B148" s="405" t="s">
        <v>206</v>
      </c>
      <c r="C148" s="405"/>
      <c r="D148" s="9"/>
      <c r="E148" s="228"/>
      <c r="F148" s="228"/>
      <c r="G148" s="228"/>
      <c r="H148" s="260"/>
      <c r="I148" s="228"/>
      <c r="J148" s="228"/>
      <c r="K148" s="55"/>
      <c r="L148" s="66">
        <f>SUM(L145:L147)</f>
        <v>0</v>
      </c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131"/>
      <c r="AF148" s="131"/>
      <c r="AG148" s="131"/>
      <c r="AH148" s="131"/>
      <c r="AI148" s="131"/>
      <c r="AJ148" s="131"/>
    </row>
    <row r="149" spans="1:36" s="6" customFormat="1" ht="24.95" customHeight="1" x14ac:dyDescent="0.25">
      <c r="A149" s="11"/>
      <c r="B149" s="409" t="s">
        <v>198</v>
      </c>
      <c r="C149" s="373"/>
      <c r="D149" s="373"/>
      <c r="E149" s="373"/>
      <c r="F149" s="373"/>
      <c r="G149" s="373"/>
      <c r="H149" s="373"/>
      <c r="I149" s="373"/>
      <c r="J149" s="373"/>
      <c r="K149" s="373"/>
      <c r="L149" s="373"/>
      <c r="M149" s="131"/>
      <c r="N149" s="131"/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  <c r="Z149" s="131"/>
      <c r="AA149" s="131"/>
      <c r="AB149" s="131"/>
      <c r="AC149" s="131"/>
      <c r="AD149" s="131"/>
      <c r="AE149" s="131"/>
      <c r="AF149" s="131"/>
      <c r="AG149" s="131"/>
      <c r="AH149" s="131"/>
      <c r="AI149" s="131"/>
      <c r="AJ149" s="131"/>
    </row>
    <row r="150" spans="1:36" s="6" customFormat="1" ht="24.95" customHeight="1" x14ac:dyDescent="0.25">
      <c r="A150" s="37" t="s">
        <v>124</v>
      </c>
      <c r="B150" s="409" t="s">
        <v>120</v>
      </c>
      <c r="C150" s="373"/>
      <c r="D150" s="11" t="s">
        <v>9</v>
      </c>
      <c r="E150" s="257">
        <v>0</v>
      </c>
      <c r="F150" s="257">
        <v>0</v>
      </c>
      <c r="G150" s="257">
        <v>0</v>
      </c>
      <c r="H150" s="257">
        <v>0</v>
      </c>
      <c r="I150" s="257">
        <v>0</v>
      </c>
      <c r="J150" s="284">
        <f>SUM(E150:I150)</f>
        <v>0</v>
      </c>
      <c r="K150" s="44">
        <v>0</v>
      </c>
      <c r="L150" s="67">
        <f>J150*K150</f>
        <v>0</v>
      </c>
      <c r="M150" s="131"/>
      <c r="N150" s="131"/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131"/>
      <c r="AF150" s="131"/>
      <c r="AG150" s="131"/>
      <c r="AH150" s="131"/>
      <c r="AI150" s="131"/>
      <c r="AJ150" s="131"/>
    </row>
    <row r="151" spans="1:36" s="6" customFormat="1" ht="24.95" customHeight="1" x14ac:dyDescent="0.25">
      <c r="A151" s="11" t="s">
        <v>45</v>
      </c>
      <c r="B151" s="402" t="s">
        <v>186</v>
      </c>
      <c r="C151" s="403"/>
      <c r="D151" s="11" t="s">
        <v>9</v>
      </c>
      <c r="E151" s="257">
        <v>1</v>
      </c>
      <c r="F151" s="257">
        <v>0</v>
      </c>
      <c r="G151" s="257">
        <v>0</v>
      </c>
      <c r="H151" s="257">
        <v>0</v>
      </c>
      <c r="I151" s="257">
        <v>0</v>
      </c>
      <c r="J151" s="284">
        <f>SUM(E151:I151)</f>
        <v>1</v>
      </c>
      <c r="K151" s="44">
        <v>0</v>
      </c>
      <c r="L151" s="67">
        <f>J151*K151</f>
        <v>0</v>
      </c>
      <c r="M151" s="131"/>
      <c r="N151" s="131"/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  <c r="AA151" s="131"/>
      <c r="AB151" s="131"/>
      <c r="AC151" s="131"/>
      <c r="AD151" s="131"/>
      <c r="AE151" s="131"/>
      <c r="AF151" s="131"/>
      <c r="AG151" s="131"/>
      <c r="AH151" s="131"/>
      <c r="AI151" s="131"/>
      <c r="AJ151" s="131"/>
    </row>
    <row r="152" spans="1:36" s="6" customFormat="1" ht="24.95" customHeight="1" x14ac:dyDescent="0.25">
      <c r="A152" s="16" t="s">
        <v>28</v>
      </c>
      <c r="B152" s="374" t="s">
        <v>189</v>
      </c>
      <c r="C152" s="374"/>
      <c r="D152" s="16" t="s">
        <v>15</v>
      </c>
      <c r="E152" s="258">
        <f t="shared" ref="E152:F152" si="19">E151*0.025</f>
        <v>2.5000000000000001E-2</v>
      </c>
      <c r="F152" s="258">
        <f t="shared" si="19"/>
        <v>0</v>
      </c>
      <c r="G152" s="258">
        <f t="shared" ref="G152:I152" si="20">G151*0.014</f>
        <v>0</v>
      </c>
      <c r="H152" s="258">
        <f t="shared" si="20"/>
        <v>0</v>
      </c>
      <c r="I152" s="258">
        <f t="shared" si="20"/>
        <v>0</v>
      </c>
      <c r="J152" s="284">
        <f>SUM(E152:I152)</f>
        <v>2.5000000000000001E-2</v>
      </c>
      <c r="K152" s="282">
        <v>0</v>
      </c>
      <c r="L152" s="67">
        <f>J152*K152</f>
        <v>0</v>
      </c>
      <c r="M152" s="131"/>
      <c r="N152" s="131"/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131"/>
      <c r="AF152" s="131"/>
      <c r="AG152" s="131"/>
      <c r="AH152" s="131"/>
      <c r="AI152" s="131"/>
      <c r="AJ152" s="131"/>
    </row>
    <row r="153" spans="1:36" s="6" customFormat="1" ht="24.95" customHeight="1" x14ac:dyDescent="0.25">
      <c r="A153" s="11"/>
      <c r="B153" s="405" t="s">
        <v>207</v>
      </c>
      <c r="C153" s="405"/>
      <c r="D153" s="9"/>
      <c r="E153" s="228"/>
      <c r="F153" s="228"/>
      <c r="G153" s="228"/>
      <c r="H153" s="228"/>
      <c r="I153" s="228"/>
      <c r="J153" s="228"/>
      <c r="K153" s="56"/>
      <c r="L153" s="66">
        <f>SUM(L150:L152)</f>
        <v>0</v>
      </c>
      <c r="M153" s="131"/>
      <c r="N153" s="131"/>
      <c r="O153" s="131"/>
      <c r="P153" s="131"/>
      <c r="Q153" s="131"/>
      <c r="R153" s="131"/>
      <c r="S153" s="131"/>
      <c r="T153" s="131"/>
      <c r="U153" s="131"/>
      <c r="V153" s="131"/>
      <c r="W153" s="131"/>
      <c r="X153" s="131"/>
      <c r="Y153" s="131"/>
      <c r="Z153" s="131"/>
      <c r="AA153" s="131"/>
      <c r="AB153" s="131"/>
      <c r="AC153" s="131"/>
      <c r="AD153" s="131"/>
      <c r="AE153" s="131"/>
      <c r="AF153" s="131"/>
      <c r="AG153" s="131"/>
      <c r="AH153" s="131"/>
      <c r="AI153" s="131"/>
      <c r="AJ153" s="131"/>
    </row>
    <row r="154" spans="1:36" s="6" customFormat="1" ht="24.95" customHeight="1" x14ac:dyDescent="0.25">
      <c r="A154" s="11"/>
      <c r="B154" s="409" t="s">
        <v>410</v>
      </c>
      <c r="C154" s="373"/>
      <c r="D154" s="373"/>
      <c r="E154" s="373"/>
      <c r="F154" s="373"/>
      <c r="G154" s="373"/>
      <c r="H154" s="373"/>
      <c r="I154" s="373"/>
      <c r="J154" s="373"/>
      <c r="K154" s="373"/>
      <c r="L154" s="373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131"/>
      <c r="AF154" s="131"/>
      <c r="AG154" s="131"/>
      <c r="AH154" s="131"/>
      <c r="AI154" s="131"/>
      <c r="AJ154" s="131"/>
    </row>
    <row r="155" spans="1:36" s="6" customFormat="1" ht="24.95" customHeight="1" x14ac:dyDescent="0.25">
      <c r="A155" s="11" t="s">
        <v>62</v>
      </c>
      <c r="B155" s="402" t="s">
        <v>187</v>
      </c>
      <c r="C155" s="403"/>
      <c r="D155" s="11" t="s">
        <v>9</v>
      </c>
      <c r="E155" s="257">
        <v>1</v>
      </c>
      <c r="F155" s="257">
        <v>0</v>
      </c>
      <c r="G155" s="257">
        <v>0</v>
      </c>
      <c r="H155" s="257">
        <v>0</v>
      </c>
      <c r="I155" s="257">
        <v>0</v>
      </c>
      <c r="J155" s="284">
        <f>SUM(E155:I155)</f>
        <v>1</v>
      </c>
      <c r="K155" s="44">
        <v>0</v>
      </c>
      <c r="L155" s="67">
        <f>J155*K155</f>
        <v>0</v>
      </c>
      <c r="M155" s="131"/>
      <c r="N155" s="131"/>
      <c r="O155" s="131"/>
      <c r="P155" s="131"/>
      <c r="Q155" s="131"/>
      <c r="R155" s="131"/>
      <c r="S155" s="131"/>
      <c r="T155" s="131"/>
      <c r="U155" s="131"/>
      <c r="V155" s="131"/>
      <c r="W155" s="131"/>
      <c r="X155" s="131"/>
      <c r="Y155" s="131"/>
      <c r="Z155" s="131"/>
      <c r="AA155" s="131"/>
      <c r="AB155" s="131"/>
      <c r="AC155" s="131"/>
      <c r="AD155" s="131"/>
      <c r="AE155" s="131"/>
      <c r="AF155" s="131"/>
      <c r="AG155" s="131"/>
      <c r="AH155" s="131"/>
      <c r="AI155" s="131"/>
      <c r="AJ155" s="131"/>
    </row>
    <row r="156" spans="1:36" s="6" customFormat="1" ht="24.95" customHeight="1" x14ac:dyDescent="0.25">
      <c r="A156" s="16" t="s">
        <v>28</v>
      </c>
      <c r="B156" s="374" t="s">
        <v>189</v>
      </c>
      <c r="C156" s="374"/>
      <c r="D156" s="16" t="s">
        <v>15</v>
      </c>
      <c r="E156" s="258">
        <f t="shared" ref="E156:F156" si="21">E155*0.04</f>
        <v>0.04</v>
      </c>
      <c r="F156" s="258">
        <f t="shared" si="21"/>
        <v>0</v>
      </c>
      <c r="G156" s="258">
        <f t="shared" ref="G156:I156" si="22">G155*0.014</f>
        <v>0</v>
      </c>
      <c r="H156" s="258">
        <f t="shared" si="22"/>
        <v>0</v>
      </c>
      <c r="I156" s="258">
        <f t="shared" si="22"/>
        <v>0</v>
      </c>
      <c r="J156" s="284">
        <f>SUM(E156:I156)</f>
        <v>0.04</v>
      </c>
      <c r="K156" s="282">
        <v>0</v>
      </c>
      <c r="L156" s="67">
        <f>J156*K156</f>
        <v>0</v>
      </c>
      <c r="M156" s="131"/>
      <c r="N156" s="131"/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131"/>
      <c r="AF156" s="131"/>
      <c r="AG156" s="131"/>
      <c r="AH156" s="131"/>
      <c r="AI156" s="131"/>
      <c r="AJ156" s="131"/>
    </row>
    <row r="157" spans="1:36" s="6" customFormat="1" ht="24.95" customHeight="1" x14ac:dyDescent="0.25">
      <c r="A157" s="11"/>
      <c r="B157" s="405" t="s">
        <v>411</v>
      </c>
      <c r="C157" s="405"/>
      <c r="D157" s="9"/>
      <c r="E157" s="228"/>
      <c r="F157" s="228"/>
      <c r="G157" s="260"/>
      <c r="H157" s="228"/>
      <c r="I157" s="228"/>
      <c r="J157" s="228"/>
      <c r="K157" s="56"/>
      <c r="L157" s="66">
        <f>SUM(L155:L156)</f>
        <v>0</v>
      </c>
      <c r="M157" s="131"/>
      <c r="N157" s="131"/>
      <c r="O157" s="131"/>
      <c r="P157" s="131"/>
      <c r="Q157" s="131"/>
      <c r="R157" s="131"/>
      <c r="S157" s="131"/>
      <c r="T157" s="131"/>
      <c r="U157" s="131"/>
      <c r="V157" s="131"/>
      <c r="W157" s="131"/>
      <c r="X157" s="131"/>
      <c r="Y157" s="131"/>
      <c r="Z157" s="131"/>
      <c r="AA157" s="131"/>
      <c r="AB157" s="131"/>
      <c r="AC157" s="131"/>
      <c r="AD157" s="131"/>
      <c r="AE157" s="131"/>
      <c r="AF157" s="131"/>
      <c r="AG157" s="131"/>
      <c r="AH157" s="131"/>
      <c r="AI157" s="131"/>
      <c r="AJ157" s="131"/>
    </row>
    <row r="158" spans="1:36" s="6" customFormat="1" ht="24.95" customHeight="1" x14ac:dyDescent="0.25">
      <c r="A158" s="31"/>
      <c r="B158" s="408" t="s">
        <v>201</v>
      </c>
      <c r="C158" s="392"/>
      <c r="D158" s="392"/>
      <c r="E158" s="392"/>
      <c r="F158" s="392"/>
      <c r="G158" s="392"/>
      <c r="H158" s="392"/>
      <c r="I158" s="392"/>
      <c r="J158" s="392"/>
      <c r="K158" s="392"/>
      <c r="L158" s="392"/>
      <c r="M158" s="131"/>
      <c r="N158" s="131"/>
      <c r="O158" s="131"/>
      <c r="P158" s="131"/>
      <c r="Q158" s="131"/>
      <c r="R158" s="131"/>
      <c r="S158" s="131"/>
      <c r="T158" s="131"/>
      <c r="U158" s="131"/>
      <c r="V158" s="131"/>
      <c r="W158" s="131"/>
      <c r="X158" s="131"/>
      <c r="Y158" s="131"/>
      <c r="Z158" s="131"/>
      <c r="AA158" s="131"/>
      <c r="AB158" s="131"/>
      <c r="AC158" s="131"/>
      <c r="AD158" s="131"/>
      <c r="AE158" s="131"/>
      <c r="AF158" s="131"/>
      <c r="AG158" s="131"/>
      <c r="AH158" s="131"/>
      <c r="AI158" s="131"/>
      <c r="AJ158" s="131"/>
    </row>
    <row r="159" spans="1:36" s="6" customFormat="1" ht="24.95" customHeight="1" x14ac:dyDescent="0.25">
      <c r="A159" s="37" t="s">
        <v>125</v>
      </c>
      <c r="B159" s="409" t="s">
        <v>121</v>
      </c>
      <c r="C159" s="373"/>
      <c r="D159" s="11" t="s">
        <v>9</v>
      </c>
      <c r="E159" s="257">
        <v>1</v>
      </c>
      <c r="F159" s="257">
        <v>0</v>
      </c>
      <c r="G159" s="257">
        <v>0</v>
      </c>
      <c r="H159" s="257">
        <v>0</v>
      </c>
      <c r="I159" s="257">
        <v>0</v>
      </c>
      <c r="J159" s="284">
        <f>SUM(E159:I159)</f>
        <v>1</v>
      </c>
      <c r="K159" s="44">
        <v>0</v>
      </c>
      <c r="L159" s="67">
        <f>J159*K159</f>
        <v>0</v>
      </c>
      <c r="M159" s="131"/>
      <c r="N159" s="131"/>
      <c r="O159" s="131"/>
      <c r="P159" s="131"/>
      <c r="Q159" s="131"/>
      <c r="R159" s="131"/>
      <c r="S159" s="131"/>
      <c r="T159" s="131"/>
      <c r="U159" s="131"/>
      <c r="V159" s="131"/>
      <c r="W159" s="131"/>
      <c r="X159" s="131"/>
      <c r="Y159" s="131"/>
      <c r="Z159" s="131"/>
      <c r="AA159" s="131"/>
      <c r="AB159" s="131"/>
      <c r="AC159" s="131"/>
      <c r="AD159" s="131"/>
      <c r="AE159" s="131"/>
      <c r="AF159" s="131"/>
      <c r="AG159" s="131"/>
      <c r="AH159" s="131"/>
      <c r="AI159" s="131"/>
      <c r="AJ159" s="131"/>
    </row>
    <row r="160" spans="1:36" s="6" customFormat="1" ht="24.95" customHeight="1" x14ac:dyDescent="0.25">
      <c r="A160" s="31" t="s">
        <v>78</v>
      </c>
      <c r="B160" s="402" t="s">
        <v>188</v>
      </c>
      <c r="C160" s="403"/>
      <c r="D160" s="11" t="s">
        <v>9</v>
      </c>
      <c r="E160" s="257">
        <v>1</v>
      </c>
      <c r="F160" s="257">
        <v>0</v>
      </c>
      <c r="G160" s="257">
        <v>0</v>
      </c>
      <c r="H160" s="257">
        <v>0</v>
      </c>
      <c r="I160" s="257">
        <v>0</v>
      </c>
      <c r="J160" s="284">
        <f>SUM(E160:I160)</f>
        <v>1</v>
      </c>
      <c r="K160" s="44">
        <v>0</v>
      </c>
      <c r="L160" s="67">
        <f>J160*K160</f>
        <v>0</v>
      </c>
      <c r="M160" s="131"/>
      <c r="N160" s="131"/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131"/>
      <c r="AF160" s="131"/>
      <c r="AG160" s="131"/>
      <c r="AH160" s="131"/>
      <c r="AI160" s="131"/>
      <c r="AJ160" s="131"/>
    </row>
    <row r="161" spans="1:36" s="6" customFormat="1" ht="24.95" customHeight="1" x14ac:dyDescent="0.25">
      <c r="A161" s="16" t="s">
        <v>28</v>
      </c>
      <c r="B161" s="374" t="s">
        <v>189</v>
      </c>
      <c r="C161" s="374"/>
      <c r="D161" s="16" t="s">
        <v>15</v>
      </c>
      <c r="E161" s="258">
        <f t="shared" ref="E161:F161" si="23">E160*0.077</f>
        <v>7.6999999999999999E-2</v>
      </c>
      <c r="F161" s="258">
        <f t="shared" si="23"/>
        <v>0</v>
      </c>
      <c r="G161" s="258">
        <f t="shared" ref="G161:I161" si="24">G160*0.014</f>
        <v>0</v>
      </c>
      <c r="H161" s="258">
        <f t="shared" si="24"/>
        <v>0</v>
      </c>
      <c r="I161" s="258">
        <f t="shared" si="24"/>
        <v>0</v>
      </c>
      <c r="J161" s="284">
        <f>SUM(E161:I161)</f>
        <v>7.6999999999999999E-2</v>
      </c>
      <c r="K161" s="282">
        <v>0</v>
      </c>
      <c r="L161" s="67">
        <f>J161*K161</f>
        <v>0</v>
      </c>
      <c r="M161" s="131"/>
      <c r="N161" s="131"/>
      <c r="O161" s="131"/>
      <c r="P161" s="131"/>
      <c r="Q161" s="131"/>
      <c r="R161" s="131"/>
      <c r="S161" s="131"/>
      <c r="T161" s="131"/>
      <c r="U161" s="131"/>
      <c r="V161" s="131"/>
      <c r="W161" s="131"/>
      <c r="X161" s="131"/>
      <c r="Y161" s="131"/>
      <c r="Z161" s="131"/>
      <c r="AA161" s="131"/>
      <c r="AB161" s="131"/>
      <c r="AC161" s="131"/>
      <c r="AD161" s="131"/>
      <c r="AE161" s="131"/>
      <c r="AF161" s="131"/>
      <c r="AG161" s="131"/>
      <c r="AH161" s="131"/>
      <c r="AI161" s="131"/>
      <c r="AJ161" s="131"/>
    </row>
    <row r="162" spans="1:36" s="6" customFormat="1" ht="24.95" customHeight="1" x14ac:dyDescent="0.25">
      <c r="A162" s="31"/>
      <c r="B162" s="109" t="s">
        <v>209</v>
      </c>
      <c r="C162" s="109"/>
      <c r="D162" s="9"/>
      <c r="E162" s="228"/>
      <c r="F162" s="228"/>
      <c r="G162" s="228"/>
      <c r="H162" s="228"/>
      <c r="I162" s="228"/>
      <c r="J162" s="228"/>
      <c r="K162" s="54"/>
      <c r="L162" s="66">
        <f>SUM(L159:L161)</f>
        <v>0</v>
      </c>
      <c r="M162" s="131"/>
      <c r="N162" s="131"/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131"/>
      <c r="AF162" s="131"/>
      <c r="AG162" s="131"/>
      <c r="AH162" s="131"/>
      <c r="AI162" s="131"/>
      <c r="AJ162" s="131"/>
    </row>
    <row r="163" spans="1:36" s="35" customFormat="1" ht="24.95" customHeight="1" x14ac:dyDescent="0.25">
      <c r="A163" s="369"/>
      <c r="B163" s="370" t="s">
        <v>7</v>
      </c>
      <c r="C163" s="370"/>
      <c r="D163" s="370" t="s">
        <v>194</v>
      </c>
      <c r="E163" s="371" t="s">
        <v>114</v>
      </c>
      <c r="F163" s="371"/>
      <c r="G163" s="371"/>
      <c r="H163" s="371"/>
      <c r="I163" s="371"/>
      <c r="J163" s="371"/>
      <c r="K163" s="372" t="s">
        <v>4</v>
      </c>
      <c r="L163" s="391" t="s">
        <v>115</v>
      </c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30"/>
      <c r="AB163" s="130"/>
      <c r="AC163" s="130"/>
      <c r="AD163" s="130"/>
      <c r="AE163" s="130"/>
      <c r="AF163" s="130"/>
      <c r="AG163" s="130"/>
      <c r="AH163" s="130"/>
      <c r="AI163" s="130"/>
      <c r="AJ163" s="130"/>
    </row>
    <row r="164" spans="1:36" s="6" customFormat="1" ht="24.95" customHeight="1" x14ac:dyDescent="0.25">
      <c r="A164" s="369"/>
      <c r="B164" s="370"/>
      <c r="C164" s="370"/>
      <c r="D164" s="370"/>
      <c r="E164" s="259" t="s">
        <v>245</v>
      </c>
      <c r="F164" s="259" t="s">
        <v>246</v>
      </c>
      <c r="G164" s="259" t="s">
        <v>341</v>
      </c>
      <c r="H164" s="259" t="s">
        <v>342</v>
      </c>
      <c r="I164" s="259" t="s">
        <v>343</v>
      </c>
      <c r="J164" s="262" t="s">
        <v>8</v>
      </c>
      <c r="K164" s="372"/>
      <c r="L164" s="391"/>
      <c r="M164" s="131"/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131"/>
      <c r="AF164" s="131"/>
      <c r="AG164" s="131"/>
      <c r="AH164" s="131"/>
      <c r="AI164" s="131"/>
      <c r="AJ164" s="131"/>
    </row>
    <row r="165" spans="1:36" s="246" customFormat="1" ht="24.95" customHeight="1" x14ac:dyDescent="0.25">
      <c r="A165" s="244"/>
      <c r="B165" s="462" t="s">
        <v>122</v>
      </c>
      <c r="C165" s="462"/>
      <c r="D165" s="462"/>
      <c r="E165" s="462"/>
      <c r="F165" s="462"/>
      <c r="G165" s="462"/>
      <c r="H165" s="462"/>
      <c r="I165" s="462"/>
      <c r="J165" s="462"/>
      <c r="K165" s="462"/>
      <c r="L165" s="462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  <c r="X165" s="245"/>
      <c r="Y165" s="245"/>
      <c r="Z165" s="245"/>
      <c r="AA165" s="245"/>
      <c r="AB165" s="245"/>
      <c r="AC165" s="245"/>
      <c r="AD165" s="245"/>
      <c r="AE165" s="245"/>
      <c r="AF165" s="245"/>
      <c r="AG165" s="245"/>
      <c r="AH165" s="245"/>
      <c r="AI165" s="245"/>
      <c r="AJ165" s="245"/>
    </row>
    <row r="166" spans="1:36" s="6" customFormat="1" ht="24.95" customHeight="1" x14ac:dyDescent="0.25">
      <c r="A166" s="11"/>
      <c r="B166" s="409" t="s">
        <v>196</v>
      </c>
      <c r="C166" s="373"/>
      <c r="D166" s="373"/>
      <c r="E166" s="373"/>
      <c r="F166" s="373"/>
      <c r="G166" s="373"/>
      <c r="H166" s="373"/>
      <c r="I166" s="373"/>
      <c r="J166" s="373"/>
      <c r="K166" s="373"/>
      <c r="L166" s="373"/>
      <c r="M166" s="131"/>
      <c r="N166" s="131"/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131"/>
      <c r="AF166" s="131"/>
      <c r="AG166" s="131"/>
      <c r="AH166" s="131"/>
      <c r="AI166" s="131"/>
      <c r="AJ166" s="131"/>
    </row>
    <row r="167" spans="1:36" s="6" customFormat="1" ht="24.95" customHeight="1" x14ac:dyDescent="0.25">
      <c r="A167" s="31" t="s">
        <v>37</v>
      </c>
      <c r="B167" s="373" t="s">
        <v>38</v>
      </c>
      <c r="C167" s="373"/>
      <c r="D167" s="11" t="s">
        <v>9</v>
      </c>
      <c r="E167" s="257">
        <v>3</v>
      </c>
      <c r="F167" s="258">
        <f t="shared" ref="F167:F168" si="25">F166*0.23</f>
        <v>0</v>
      </c>
      <c r="G167" s="257">
        <v>0</v>
      </c>
      <c r="H167" s="257">
        <v>0</v>
      </c>
      <c r="I167" s="257">
        <v>0</v>
      </c>
      <c r="J167" s="284">
        <f>SUM(E167:I167)</f>
        <v>3</v>
      </c>
      <c r="K167" s="44">
        <v>0</v>
      </c>
      <c r="L167" s="67">
        <f>J167*K167</f>
        <v>0</v>
      </c>
      <c r="M167" s="131"/>
      <c r="N167" s="131"/>
      <c r="O167" s="131"/>
      <c r="P167" s="131"/>
      <c r="Q167" s="131"/>
      <c r="R167" s="131"/>
      <c r="S167" s="131"/>
      <c r="T167" s="131"/>
      <c r="U167" s="131"/>
      <c r="V167" s="131"/>
      <c r="W167" s="131"/>
      <c r="X167" s="131"/>
      <c r="Y167" s="131"/>
      <c r="Z167" s="131"/>
      <c r="AA167" s="131"/>
      <c r="AB167" s="131"/>
      <c r="AC167" s="131"/>
      <c r="AD167" s="131"/>
      <c r="AE167" s="131"/>
      <c r="AF167" s="131"/>
      <c r="AG167" s="131"/>
      <c r="AH167" s="131"/>
      <c r="AI167" s="131"/>
      <c r="AJ167" s="131"/>
    </row>
    <row r="168" spans="1:36" s="6" customFormat="1" ht="24.95" customHeight="1" x14ac:dyDescent="0.25">
      <c r="A168" s="11" t="s">
        <v>39</v>
      </c>
      <c r="B168" s="403" t="s">
        <v>10</v>
      </c>
      <c r="C168" s="403"/>
      <c r="D168" s="11" t="s">
        <v>9</v>
      </c>
      <c r="E168" s="257">
        <v>3</v>
      </c>
      <c r="F168" s="258">
        <f t="shared" si="25"/>
        <v>0</v>
      </c>
      <c r="G168" s="257">
        <v>0</v>
      </c>
      <c r="H168" s="257">
        <v>0</v>
      </c>
      <c r="I168" s="257">
        <v>0</v>
      </c>
      <c r="J168" s="284">
        <f>SUM(E168:I168)</f>
        <v>3</v>
      </c>
      <c r="K168" s="44">
        <v>0</v>
      </c>
      <c r="L168" s="67">
        <f t="shared" ref="L168:L169" si="26">J168*K168</f>
        <v>0</v>
      </c>
      <c r="M168" s="131"/>
      <c r="N168" s="131"/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131"/>
      <c r="AF168" s="131"/>
      <c r="AG168" s="131"/>
      <c r="AH168" s="131"/>
      <c r="AI168" s="131"/>
      <c r="AJ168" s="131"/>
    </row>
    <row r="169" spans="1:36" s="6" customFormat="1" ht="24.95" customHeight="1" x14ac:dyDescent="0.25">
      <c r="A169" s="16" t="s">
        <v>28</v>
      </c>
      <c r="B169" s="374" t="s">
        <v>189</v>
      </c>
      <c r="C169" s="374"/>
      <c r="D169" s="16" t="s">
        <v>15</v>
      </c>
      <c r="E169" s="258">
        <f t="shared" ref="E169" si="27">E168*0.009</f>
        <v>2.6999999999999996E-2</v>
      </c>
      <c r="F169" s="258">
        <f t="shared" ref="F169" si="28">F168*0.23</f>
        <v>0</v>
      </c>
      <c r="G169" s="258">
        <f t="shared" ref="G169:I169" si="29">G168*0.014</f>
        <v>0</v>
      </c>
      <c r="H169" s="258">
        <f t="shared" si="29"/>
        <v>0</v>
      </c>
      <c r="I169" s="258">
        <f t="shared" si="29"/>
        <v>0</v>
      </c>
      <c r="J169" s="284">
        <f>SUM(E169:I169)</f>
        <v>2.6999999999999996E-2</v>
      </c>
      <c r="K169" s="282">
        <v>0</v>
      </c>
      <c r="L169" s="67">
        <f t="shared" si="26"/>
        <v>0</v>
      </c>
      <c r="M169" s="131"/>
      <c r="N169" s="131"/>
      <c r="O169" s="131"/>
      <c r="P169" s="131"/>
      <c r="Q169" s="131"/>
      <c r="R169" s="131"/>
      <c r="S169" s="131"/>
      <c r="T169" s="131"/>
      <c r="U169" s="131"/>
      <c r="V169" s="131"/>
      <c r="W169" s="131"/>
      <c r="X169" s="131"/>
      <c r="Y169" s="131"/>
      <c r="Z169" s="131"/>
      <c r="AA169" s="131"/>
      <c r="AB169" s="131"/>
      <c r="AC169" s="131"/>
      <c r="AD169" s="131"/>
      <c r="AE169" s="131"/>
      <c r="AF169" s="131"/>
      <c r="AG169" s="131"/>
      <c r="AH169" s="131"/>
      <c r="AI169" s="131"/>
      <c r="AJ169" s="131"/>
    </row>
    <row r="170" spans="1:36" s="6" customFormat="1" ht="24.95" customHeight="1" x14ac:dyDescent="0.25">
      <c r="A170" s="11"/>
      <c r="B170" s="405" t="s">
        <v>205</v>
      </c>
      <c r="C170" s="405"/>
      <c r="D170" s="9"/>
      <c r="E170" s="228"/>
      <c r="F170" s="228"/>
      <c r="G170" s="228"/>
      <c r="H170" s="228"/>
      <c r="I170" s="228"/>
      <c r="J170" s="228"/>
      <c r="K170" s="55"/>
      <c r="L170" s="66">
        <f>SUM(L167:L169)</f>
        <v>0</v>
      </c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131"/>
      <c r="AF170" s="131"/>
      <c r="AG170" s="131"/>
      <c r="AH170" s="131"/>
      <c r="AI170" s="131"/>
      <c r="AJ170" s="131"/>
    </row>
    <row r="171" spans="1:36" s="6" customFormat="1" ht="24.95" customHeight="1" x14ac:dyDescent="0.25">
      <c r="A171" s="11"/>
      <c r="B171" s="409" t="s">
        <v>197</v>
      </c>
      <c r="C171" s="373"/>
      <c r="D171" s="373"/>
      <c r="E171" s="373"/>
      <c r="F171" s="373"/>
      <c r="G171" s="373"/>
      <c r="H171" s="373"/>
      <c r="I171" s="373"/>
      <c r="J171" s="373"/>
      <c r="K171" s="373"/>
      <c r="L171" s="373"/>
      <c r="M171" s="131"/>
      <c r="N171" s="131"/>
      <c r="O171" s="131"/>
      <c r="P171" s="131"/>
      <c r="Q171" s="131"/>
      <c r="R171" s="131"/>
      <c r="S171" s="131"/>
      <c r="T171" s="131"/>
      <c r="U171" s="131"/>
      <c r="V171" s="131"/>
      <c r="W171" s="131"/>
      <c r="X171" s="131"/>
      <c r="Y171" s="131"/>
      <c r="Z171" s="131"/>
      <c r="AA171" s="131"/>
      <c r="AB171" s="131"/>
      <c r="AC171" s="131"/>
      <c r="AD171" s="131"/>
      <c r="AE171" s="131"/>
      <c r="AF171" s="131"/>
      <c r="AG171" s="131"/>
      <c r="AH171" s="131"/>
      <c r="AI171" s="131"/>
      <c r="AJ171" s="131"/>
    </row>
    <row r="172" spans="1:36" s="6" customFormat="1" ht="24.95" customHeight="1" x14ac:dyDescent="0.25">
      <c r="A172" s="31" t="s">
        <v>40</v>
      </c>
      <c r="B172" s="373" t="s">
        <v>41</v>
      </c>
      <c r="C172" s="373"/>
      <c r="D172" s="11" t="s">
        <v>9</v>
      </c>
      <c r="E172" s="257">
        <v>1</v>
      </c>
      <c r="F172" s="258">
        <f t="shared" ref="F172:F173" si="30">F171*0.23</f>
        <v>0</v>
      </c>
      <c r="G172" s="257">
        <v>0</v>
      </c>
      <c r="H172" s="257">
        <v>0</v>
      </c>
      <c r="I172" s="257">
        <v>0</v>
      </c>
      <c r="J172" s="284">
        <f>SUM(E172:I172)</f>
        <v>1</v>
      </c>
      <c r="K172" s="44">
        <v>0</v>
      </c>
      <c r="L172" s="67">
        <f>J172*K172</f>
        <v>0</v>
      </c>
      <c r="M172" s="131"/>
      <c r="N172" s="131"/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131"/>
      <c r="AF172" s="131"/>
      <c r="AG172" s="131"/>
      <c r="AH172" s="131"/>
      <c r="AI172" s="131"/>
      <c r="AJ172" s="131"/>
    </row>
    <row r="173" spans="1:36" s="6" customFormat="1" ht="24.95" customHeight="1" x14ac:dyDescent="0.25">
      <c r="A173" s="11" t="s">
        <v>42</v>
      </c>
      <c r="B173" s="373" t="s">
        <v>11</v>
      </c>
      <c r="C173" s="373"/>
      <c r="D173" s="11" t="s">
        <v>9</v>
      </c>
      <c r="E173" s="257">
        <v>1</v>
      </c>
      <c r="F173" s="258">
        <f t="shared" si="30"/>
        <v>0</v>
      </c>
      <c r="G173" s="257">
        <v>0</v>
      </c>
      <c r="H173" s="257">
        <v>0</v>
      </c>
      <c r="I173" s="257">
        <v>0</v>
      </c>
      <c r="J173" s="284">
        <f>SUM(E173:I173)</f>
        <v>1</v>
      </c>
      <c r="K173" s="44">
        <v>0</v>
      </c>
      <c r="L173" s="67">
        <f t="shared" ref="L173:L174" si="31">J173*K173</f>
        <v>0</v>
      </c>
      <c r="M173" s="131"/>
      <c r="N173" s="131"/>
      <c r="O173" s="131"/>
      <c r="P173" s="131"/>
      <c r="Q173" s="131"/>
      <c r="R173" s="131"/>
      <c r="S173" s="131"/>
      <c r="T173" s="131"/>
      <c r="U173" s="131"/>
      <c r="V173" s="131"/>
      <c r="W173" s="131"/>
      <c r="X173" s="131"/>
      <c r="Y173" s="131"/>
      <c r="Z173" s="131"/>
      <c r="AA173" s="131"/>
      <c r="AB173" s="131"/>
      <c r="AC173" s="131"/>
      <c r="AD173" s="131"/>
      <c r="AE173" s="131"/>
      <c r="AF173" s="131"/>
      <c r="AG173" s="131"/>
      <c r="AH173" s="131"/>
      <c r="AI173" s="131"/>
      <c r="AJ173" s="131"/>
    </row>
    <row r="174" spans="1:36" s="6" customFormat="1" ht="24.95" customHeight="1" x14ac:dyDescent="0.25">
      <c r="A174" s="16" t="s">
        <v>28</v>
      </c>
      <c r="B174" s="374" t="s">
        <v>189</v>
      </c>
      <c r="C174" s="374"/>
      <c r="D174" s="16" t="s">
        <v>15</v>
      </c>
      <c r="E174" s="258">
        <f t="shared" ref="E174:I174" si="32">E173*0.014</f>
        <v>1.4E-2</v>
      </c>
      <c r="F174" s="258">
        <f t="shared" ref="F174" si="33">F173*0.23</f>
        <v>0</v>
      </c>
      <c r="G174" s="258">
        <f t="shared" si="32"/>
        <v>0</v>
      </c>
      <c r="H174" s="258">
        <f t="shared" si="32"/>
        <v>0</v>
      </c>
      <c r="I174" s="258">
        <f t="shared" si="32"/>
        <v>0</v>
      </c>
      <c r="J174" s="284">
        <f>SUM(E174:I174)</f>
        <v>1.4E-2</v>
      </c>
      <c r="K174" s="282">
        <v>0</v>
      </c>
      <c r="L174" s="67">
        <f t="shared" si="31"/>
        <v>0</v>
      </c>
      <c r="M174" s="131"/>
      <c r="N174" s="131"/>
      <c r="O174" s="131"/>
      <c r="P174" s="131"/>
      <c r="Q174" s="131"/>
      <c r="R174" s="131"/>
      <c r="S174" s="131"/>
      <c r="T174" s="131"/>
      <c r="U174" s="131"/>
      <c r="V174" s="131"/>
      <c r="W174" s="131"/>
      <c r="X174" s="131"/>
      <c r="Y174" s="131"/>
      <c r="Z174" s="131"/>
      <c r="AA174" s="131"/>
      <c r="AB174" s="131"/>
      <c r="AC174" s="131"/>
      <c r="AD174" s="131"/>
      <c r="AE174" s="131"/>
      <c r="AF174" s="131"/>
      <c r="AG174" s="131"/>
      <c r="AH174" s="131"/>
      <c r="AI174" s="131"/>
      <c r="AJ174" s="131"/>
    </row>
    <row r="175" spans="1:36" s="6" customFormat="1" ht="24.95" customHeight="1" x14ac:dyDescent="0.25">
      <c r="A175" s="11"/>
      <c r="B175" s="405" t="s">
        <v>206</v>
      </c>
      <c r="C175" s="405"/>
      <c r="D175" s="9"/>
      <c r="E175" s="228"/>
      <c r="F175" s="228"/>
      <c r="G175" s="228"/>
      <c r="H175" s="228"/>
      <c r="I175" s="228"/>
      <c r="J175" s="228"/>
      <c r="K175" s="283"/>
      <c r="L175" s="66">
        <f>SUM(L172:L174)</f>
        <v>0</v>
      </c>
      <c r="M175" s="131"/>
      <c r="N175" s="131"/>
      <c r="O175" s="131"/>
      <c r="P175" s="131"/>
      <c r="Q175" s="131"/>
      <c r="R175" s="131"/>
      <c r="S175" s="131"/>
      <c r="T175" s="131"/>
      <c r="U175" s="131"/>
      <c r="V175" s="131"/>
      <c r="W175" s="131"/>
      <c r="X175" s="131"/>
      <c r="Y175" s="131"/>
      <c r="Z175" s="131"/>
      <c r="AA175" s="131"/>
      <c r="AB175" s="131"/>
      <c r="AC175" s="131"/>
      <c r="AD175" s="131"/>
      <c r="AE175" s="131"/>
      <c r="AF175" s="131"/>
      <c r="AG175" s="131"/>
      <c r="AH175" s="131"/>
      <c r="AI175" s="131"/>
      <c r="AJ175" s="131"/>
    </row>
    <row r="176" spans="1:36" s="6" customFormat="1" ht="24.95" customHeight="1" x14ac:dyDescent="0.25">
      <c r="A176" s="11"/>
      <c r="B176" s="409" t="s">
        <v>198</v>
      </c>
      <c r="C176" s="373"/>
      <c r="D176" s="373"/>
      <c r="E176" s="373"/>
      <c r="F176" s="373"/>
      <c r="G176" s="373"/>
      <c r="H176" s="373"/>
      <c r="I176" s="373"/>
      <c r="J176" s="373"/>
      <c r="K176" s="373"/>
      <c r="L176" s="373"/>
      <c r="M176" s="131"/>
      <c r="N176" s="131"/>
      <c r="O176" s="131"/>
      <c r="P176" s="131"/>
      <c r="Q176" s="131"/>
      <c r="R176" s="131"/>
      <c r="S176" s="131"/>
      <c r="T176" s="131"/>
      <c r="U176" s="131"/>
      <c r="V176" s="131"/>
      <c r="W176" s="131"/>
      <c r="X176" s="131"/>
      <c r="Y176" s="131"/>
      <c r="Z176" s="131"/>
      <c r="AA176" s="131"/>
      <c r="AB176" s="131"/>
      <c r="AC176" s="131"/>
      <c r="AD176" s="131"/>
      <c r="AE176" s="131"/>
      <c r="AF176" s="131"/>
      <c r="AG176" s="131"/>
      <c r="AH176" s="131"/>
      <c r="AI176" s="131"/>
      <c r="AJ176" s="131"/>
    </row>
    <row r="177" spans="1:36" s="6" customFormat="1" ht="24.95" customHeight="1" x14ac:dyDescent="0.25">
      <c r="A177" s="31" t="s">
        <v>43</v>
      </c>
      <c r="B177" s="373" t="s">
        <v>44</v>
      </c>
      <c r="C177" s="373"/>
      <c r="D177" s="11" t="s">
        <v>9</v>
      </c>
      <c r="E177" s="257">
        <v>1</v>
      </c>
      <c r="F177" s="258">
        <f t="shared" ref="F177:F178" si="34">F176*0.23</f>
        <v>0</v>
      </c>
      <c r="G177" s="257">
        <v>0</v>
      </c>
      <c r="H177" s="257">
        <v>0</v>
      </c>
      <c r="I177" s="257">
        <v>0</v>
      </c>
      <c r="J177" s="284">
        <f>SUM(E177:I177)</f>
        <v>1</v>
      </c>
      <c r="K177" s="44">
        <v>0</v>
      </c>
      <c r="L177" s="67">
        <f>J177*K177</f>
        <v>0</v>
      </c>
      <c r="M177" s="131"/>
      <c r="N177" s="131"/>
      <c r="O177" s="131"/>
      <c r="P177" s="131"/>
      <c r="Q177" s="131"/>
      <c r="R177" s="131"/>
      <c r="S177" s="131"/>
      <c r="T177" s="131"/>
      <c r="U177" s="131"/>
      <c r="V177" s="131"/>
      <c r="W177" s="131"/>
      <c r="X177" s="131"/>
      <c r="Y177" s="131"/>
      <c r="Z177" s="131"/>
      <c r="AA177" s="131"/>
      <c r="AB177" s="131"/>
      <c r="AC177" s="131"/>
      <c r="AD177" s="131"/>
      <c r="AE177" s="131"/>
      <c r="AF177" s="131"/>
      <c r="AG177" s="131"/>
      <c r="AH177" s="131"/>
      <c r="AI177" s="131"/>
      <c r="AJ177" s="131"/>
    </row>
    <row r="178" spans="1:36" s="6" customFormat="1" ht="24.95" customHeight="1" x14ac:dyDescent="0.25">
      <c r="A178" s="11" t="s">
        <v>45</v>
      </c>
      <c r="B178" s="373" t="s">
        <v>12</v>
      </c>
      <c r="C178" s="373"/>
      <c r="D178" s="11" t="s">
        <v>9</v>
      </c>
      <c r="E178" s="257">
        <v>1</v>
      </c>
      <c r="F178" s="258">
        <f t="shared" si="34"/>
        <v>0</v>
      </c>
      <c r="G178" s="257">
        <v>0</v>
      </c>
      <c r="H178" s="257">
        <v>0</v>
      </c>
      <c r="I178" s="257">
        <v>0</v>
      </c>
      <c r="J178" s="284">
        <f>SUM(E178:I178)</f>
        <v>1</v>
      </c>
      <c r="K178" s="44">
        <v>0</v>
      </c>
      <c r="L178" s="67">
        <f t="shared" ref="L178:L179" si="35">J178*K178</f>
        <v>0</v>
      </c>
      <c r="M178" s="131"/>
      <c r="N178" s="131"/>
      <c r="O178" s="131"/>
      <c r="P178" s="131"/>
      <c r="Q178" s="131"/>
      <c r="R178" s="131"/>
      <c r="S178" s="131"/>
      <c r="T178" s="131"/>
      <c r="U178" s="131"/>
      <c r="V178" s="131"/>
      <c r="W178" s="131"/>
      <c r="X178" s="131"/>
      <c r="Y178" s="131"/>
      <c r="Z178" s="131"/>
      <c r="AA178" s="131"/>
      <c r="AB178" s="131"/>
      <c r="AC178" s="131"/>
      <c r="AD178" s="131"/>
      <c r="AE178" s="131"/>
      <c r="AF178" s="131"/>
      <c r="AG178" s="131"/>
      <c r="AH178" s="131"/>
      <c r="AI178" s="131"/>
      <c r="AJ178" s="131"/>
    </row>
    <row r="179" spans="1:36" s="6" customFormat="1" ht="24.95" customHeight="1" x14ac:dyDescent="0.25">
      <c r="A179" s="16" t="s">
        <v>28</v>
      </c>
      <c r="B179" s="374" t="s">
        <v>189</v>
      </c>
      <c r="C179" s="374"/>
      <c r="D179" s="16" t="s">
        <v>15</v>
      </c>
      <c r="E179" s="258">
        <f t="shared" ref="E179" si="36">E178*0.025</f>
        <v>2.5000000000000001E-2</v>
      </c>
      <c r="F179" s="258">
        <f t="shared" ref="F179" si="37">F178*0.23</f>
        <v>0</v>
      </c>
      <c r="G179" s="258">
        <f t="shared" ref="G179:I179" si="38">G178*0.014</f>
        <v>0</v>
      </c>
      <c r="H179" s="258">
        <f t="shared" si="38"/>
        <v>0</v>
      </c>
      <c r="I179" s="258">
        <f t="shared" si="38"/>
        <v>0</v>
      </c>
      <c r="J179" s="284">
        <f>SUM(E179:I179)</f>
        <v>2.5000000000000001E-2</v>
      </c>
      <c r="K179" s="282">
        <v>0</v>
      </c>
      <c r="L179" s="67">
        <f t="shared" si="35"/>
        <v>0</v>
      </c>
      <c r="M179" s="131"/>
      <c r="N179" s="131"/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  <c r="Z179" s="131"/>
      <c r="AA179" s="131"/>
      <c r="AB179" s="131"/>
      <c r="AC179" s="131"/>
      <c r="AD179" s="131"/>
      <c r="AE179" s="131"/>
      <c r="AF179" s="131"/>
      <c r="AG179" s="131"/>
      <c r="AH179" s="131"/>
      <c r="AI179" s="131"/>
      <c r="AJ179" s="131"/>
    </row>
    <row r="180" spans="1:36" s="6" customFormat="1" ht="24.95" customHeight="1" x14ac:dyDescent="0.25">
      <c r="A180" s="11"/>
      <c r="B180" s="405" t="s">
        <v>207</v>
      </c>
      <c r="C180" s="405"/>
      <c r="D180" s="9"/>
      <c r="E180" s="228"/>
      <c r="F180" s="228"/>
      <c r="G180" s="260"/>
      <c r="H180" s="228"/>
      <c r="I180" s="228"/>
      <c r="J180" s="228"/>
      <c r="K180" s="56"/>
      <c r="L180" s="66">
        <f>SUM(L177:L179)</f>
        <v>0</v>
      </c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  <c r="W180" s="131"/>
      <c r="X180" s="131"/>
      <c r="Y180" s="131"/>
      <c r="Z180" s="131"/>
      <c r="AA180" s="131"/>
      <c r="AB180" s="131"/>
      <c r="AC180" s="131"/>
      <c r="AD180" s="131"/>
      <c r="AE180" s="131"/>
      <c r="AF180" s="131"/>
      <c r="AG180" s="131"/>
      <c r="AH180" s="131"/>
      <c r="AI180" s="131"/>
      <c r="AJ180" s="131"/>
    </row>
    <row r="181" spans="1:36" s="6" customFormat="1" ht="24.95" customHeight="1" x14ac:dyDescent="0.25">
      <c r="A181" s="11"/>
      <c r="B181" s="409" t="s">
        <v>199</v>
      </c>
      <c r="C181" s="373"/>
      <c r="D181" s="373"/>
      <c r="E181" s="373"/>
      <c r="F181" s="373"/>
      <c r="G181" s="373"/>
      <c r="H181" s="373"/>
      <c r="I181" s="373"/>
      <c r="J181" s="373"/>
      <c r="K181" s="373"/>
      <c r="L181" s="373"/>
      <c r="M181" s="131"/>
      <c r="N181" s="131"/>
      <c r="O181" s="131"/>
      <c r="P181" s="131"/>
      <c r="Q181" s="131"/>
      <c r="R181" s="131"/>
      <c r="S181" s="131"/>
      <c r="T181" s="131"/>
      <c r="U181" s="131"/>
      <c r="V181" s="131"/>
      <c r="W181" s="131"/>
      <c r="X181" s="131"/>
      <c r="Y181" s="131"/>
      <c r="Z181" s="131"/>
      <c r="AA181" s="131"/>
      <c r="AB181" s="131"/>
      <c r="AC181" s="131"/>
      <c r="AD181" s="131"/>
      <c r="AE181" s="131"/>
      <c r="AF181" s="131"/>
      <c r="AG181" s="131"/>
      <c r="AH181" s="131"/>
      <c r="AI181" s="131"/>
      <c r="AJ181" s="131"/>
    </row>
    <row r="182" spans="1:36" s="6" customFormat="1" ht="24.95" customHeight="1" x14ac:dyDescent="0.25">
      <c r="A182" s="31" t="s">
        <v>61</v>
      </c>
      <c r="B182" s="373" t="s">
        <v>60</v>
      </c>
      <c r="C182" s="373"/>
      <c r="D182" s="11" t="s">
        <v>9</v>
      </c>
      <c r="E182" s="257">
        <v>1</v>
      </c>
      <c r="F182" s="258">
        <f t="shared" ref="F182:F183" si="39">F181*0.23</f>
        <v>0</v>
      </c>
      <c r="G182" s="257">
        <v>0</v>
      </c>
      <c r="H182" s="257">
        <v>0</v>
      </c>
      <c r="I182" s="257">
        <v>0</v>
      </c>
      <c r="J182" s="284">
        <f>SUM(E182:I182)</f>
        <v>1</v>
      </c>
      <c r="K182" s="44">
        <v>0</v>
      </c>
      <c r="L182" s="67">
        <f>J182*K182</f>
        <v>0</v>
      </c>
      <c r="M182" s="131"/>
      <c r="N182" s="131"/>
      <c r="O182" s="131"/>
      <c r="P182" s="131"/>
      <c r="Q182" s="131"/>
      <c r="R182" s="131"/>
      <c r="S182" s="131"/>
      <c r="T182" s="131"/>
      <c r="U182" s="131"/>
      <c r="V182" s="131"/>
      <c r="W182" s="131"/>
      <c r="X182" s="131"/>
      <c r="Y182" s="131"/>
      <c r="Z182" s="131"/>
      <c r="AA182" s="131"/>
      <c r="AB182" s="131"/>
      <c r="AC182" s="131"/>
      <c r="AD182" s="131"/>
      <c r="AE182" s="131"/>
      <c r="AF182" s="131"/>
      <c r="AG182" s="131"/>
      <c r="AH182" s="131"/>
      <c r="AI182" s="131"/>
      <c r="AJ182" s="131"/>
    </row>
    <row r="183" spans="1:36" s="6" customFormat="1" ht="24.95" customHeight="1" x14ac:dyDescent="0.25">
      <c r="A183" s="11" t="s">
        <v>62</v>
      </c>
      <c r="B183" s="402" t="s">
        <v>187</v>
      </c>
      <c r="C183" s="403"/>
      <c r="D183" s="11" t="s">
        <v>9</v>
      </c>
      <c r="E183" s="257">
        <v>1</v>
      </c>
      <c r="F183" s="258">
        <f t="shared" si="39"/>
        <v>0</v>
      </c>
      <c r="G183" s="257">
        <v>0</v>
      </c>
      <c r="H183" s="257">
        <v>0</v>
      </c>
      <c r="I183" s="257">
        <v>0</v>
      </c>
      <c r="J183" s="284">
        <f>SUM(E183:I183)</f>
        <v>1</v>
      </c>
      <c r="K183" s="44">
        <v>0</v>
      </c>
      <c r="L183" s="67">
        <f>J183*K183</f>
        <v>0</v>
      </c>
      <c r="M183" s="131"/>
      <c r="N183" s="131"/>
      <c r="O183" s="131"/>
      <c r="P183" s="131"/>
      <c r="Q183" s="131"/>
      <c r="R183" s="131"/>
      <c r="S183" s="131"/>
      <c r="T183" s="131"/>
      <c r="U183" s="131"/>
      <c r="V183" s="131"/>
      <c r="W183" s="131"/>
      <c r="X183" s="131"/>
      <c r="Y183" s="131"/>
      <c r="Z183" s="131"/>
      <c r="AA183" s="131"/>
      <c r="AB183" s="131"/>
      <c r="AC183" s="131"/>
      <c r="AD183" s="131"/>
      <c r="AE183" s="131"/>
      <c r="AF183" s="131"/>
      <c r="AG183" s="131"/>
      <c r="AH183" s="131"/>
      <c r="AI183" s="131"/>
      <c r="AJ183" s="131"/>
    </row>
    <row r="184" spans="1:36" s="6" customFormat="1" ht="24.95" customHeight="1" x14ac:dyDescent="0.25">
      <c r="A184" s="16" t="s">
        <v>28</v>
      </c>
      <c r="B184" s="374" t="s">
        <v>189</v>
      </c>
      <c r="C184" s="374"/>
      <c r="D184" s="16" t="s">
        <v>15</v>
      </c>
      <c r="E184" s="258">
        <f t="shared" ref="E184" si="40">E183*0.04</f>
        <v>0.04</v>
      </c>
      <c r="F184" s="258">
        <f t="shared" ref="F184" si="41">F183*0.23</f>
        <v>0</v>
      </c>
      <c r="G184" s="258">
        <f t="shared" ref="G184:I184" si="42">G183*0.014</f>
        <v>0</v>
      </c>
      <c r="H184" s="258">
        <f t="shared" si="42"/>
        <v>0</v>
      </c>
      <c r="I184" s="258">
        <f t="shared" si="42"/>
        <v>0</v>
      </c>
      <c r="J184" s="284">
        <f>SUM(E184:I184)</f>
        <v>0.04</v>
      </c>
      <c r="K184" s="282">
        <v>0</v>
      </c>
      <c r="L184" s="67">
        <f>J184*K184</f>
        <v>0</v>
      </c>
      <c r="M184" s="131"/>
      <c r="N184" s="131"/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  <c r="Z184" s="131"/>
      <c r="AA184" s="131"/>
      <c r="AB184" s="131"/>
      <c r="AC184" s="131"/>
      <c r="AD184" s="131"/>
      <c r="AE184" s="131"/>
      <c r="AF184" s="131"/>
      <c r="AG184" s="131"/>
      <c r="AH184" s="131"/>
      <c r="AI184" s="131"/>
      <c r="AJ184" s="131"/>
    </row>
    <row r="185" spans="1:36" s="6" customFormat="1" ht="24.95" customHeight="1" x14ac:dyDescent="0.25">
      <c r="A185" s="11"/>
      <c r="B185" s="405" t="s">
        <v>208</v>
      </c>
      <c r="C185" s="405"/>
      <c r="D185" s="9"/>
      <c r="E185" s="228"/>
      <c r="F185" s="228"/>
      <c r="G185" s="228"/>
      <c r="H185" s="228"/>
      <c r="I185" s="228"/>
      <c r="J185" s="228"/>
      <c r="K185" s="56"/>
      <c r="L185" s="66">
        <f>SUM(L182:L184)</f>
        <v>0</v>
      </c>
      <c r="M185" s="131"/>
      <c r="N185" s="131"/>
      <c r="O185" s="131"/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  <c r="AA185" s="131"/>
      <c r="AB185" s="131"/>
      <c r="AC185" s="131"/>
      <c r="AD185" s="131"/>
      <c r="AE185" s="131"/>
      <c r="AF185" s="131"/>
      <c r="AG185" s="131"/>
      <c r="AH185" s="131"/>
      <c r="AI185" s="131"/>
      <c r="AJ185" s="131"/>
    </row>
    <row r="186" spans="1:36" s="6" customFormat="1" ht="24.95" customHeight="1" x14ac:dyDescent="0.25">
      <c r="A186" s="11"/>
      <c r="B186" s="408" t="s">
        <v>200</v>
      </c>
      <c r="C186" s="392"/>
      <c r="D186" s="392"/>
      <c r="E186" s="392"/>
      <c r="F186" s="392"/>
      <c r="G186" s="392"/>
      <c r="H186" s="392"/>
      <c r="I186" s="392"/>
      <c r="J186" s="392"/>
      <c r="K186" s="392"/>
      <c r="L186" s="392"/>
      <c r="M186" s="131"/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  <c r="Z186" s="131"/>
      <c r="AA186" s="131"/>
      <c r="AB186" s="131"/>
      <c r="AC186" s="131"/>
      <c r="AD186" s="131"/>
      <c r="AE186" s="131"/>
      <c r="AF186" s="131"/>
      <c r="AG186" s="131"/>
      <c r="AH186" s="131"/>
      <c r="AI186" s="131"/>
      <c r="AJ186" s="131"/>
    </row>
    <row r="187" spans="1:36" s="6" customFormat="1" ht="24.95" customHeight="1" x14ac:dyDescent="0.25">
      <c r="A187" s="11" t="s">
        <v>46</v>
      </c>
      <c r="B187" s="373" t="s">
        <v>47</v>
      </c>
      <c r="C187" s="373"/>
      <c r="D187" s="11" t="s">
        <v>9</v>
      </c>
      <c r="E187" s="257">
        <v>4</v>
      </c>
      <c r="F187" s="258">
        <f t="shared" ref="F187:F188" si="43">F186*0.23</f>
        <v>0</v>
      </c>
      <c r="G187" s="257">
        <v>0</v>
      </c>
      <c r="H187" s="257">
        <v>0</v>
      </c>
      <c r="I187" s="257">
        <v>0</v>
      </c>
      <c r="J187" s="284">
        <f>SUM(E187:I187)</f>
        <v>4</v>
      </c>
      <c r="K187" s="44">
        <v>0</v>
      </c>
      <c r="L187" s="67">
        <f>J187*K187</f>
        <v>0</v>
      </c>
      <c r="M187" s="131"/>
      <c r="N187" s="131"/>
      <c r="O187" s="131"/>
      <c r="P187" s="131"/>
      <c r="Q187" s="131"/>
      <c r="R187" s="131"/>
      <c r="S187" s="131"/>
      <c r="T187" s="131"/>
      <c r="U187" s="131"/>
      <c r="V187" s="131"/>
      <c r="W187" s="131"/>
      <c r="X187" s="131"/>
      <c r="Y187" s="131"/>
      <c r="Z187" s="131"/>
      <c r="AA187" s="131"/>
      <c r="AB187" s="131"/>
      <c r="AC187" s="131"/>
      <c r="AD187" s="131"/>
      <c r="AE187" s="131"/>
      <c r="AF187" s="131"/>
      <c r="AG187" s="131"/>
      <c r="AH187" s="131"/>
      <c r="AI187" s="131"/>
      <c r="AJ187" s="131"/>
    </row>
    <row r="188" spans="1:36" s="6" customFormat="1" ht="24.95" customHeight="1" x14ac:dyDescent="0.25">
      <c r="A188" s="11" t="s">
        <v>48</v>
      </c>
      <c r="B188" s="373" t="s">
        <v>13</v>
      </c>
      <c r="C188" s="373"/>
      <c r="D188" s="11" t="s">
        <v>9</v>
      </c>
      <c r="E188" s="257">
        <v>4</v>
      </c>
      <c r="F188" s="258">
        <f t="shared" si="43"/>
        <v>0</v>
      </c>
      <c r="G188" s="257">
        <v>0</v>
      </c>
      <c r="H188" s="257">
        <v>0</v>
      </c>
      <c r="I188" s="257">
        <v>0</v>
      </c>
      <c r="J188" s="284">
        <f>SUM(E188:I188)</f>
        <v>4</v>
      </c>
      <c r="K188" s="44">
        <v>0</v>
      </c>
      <c r="L188" s="67">
        <f t="shared" ref="L188:L189" si="44">J188*K188</f>
        <v>0</v>
      </c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  <c r="AA188" s="131"/>
      <c r="AB188" s="131"/>
      <c r="AC188" s="131"/>
      <c r="AD188" s="131"/>
      <c r="AE188" s="131"/>
      <c r="AF188" s="131"/>
      <c r="AG188" s="131"/>
      <c r="AH188" s="131"/>
      <c r="AI188" s="131"/>
      <c r="AJ188" s="131"/>
    </row>
    <row r="189" spans="1:36" s="6" customFormat="1" ht="24.95" customHeight="1" x14ac:dyDescent="0.25">
      <c r="A189" s="16" t="s">
        <v>28</v>
      </c>
      <c r="B189" s="374" t="s">
        <v>189</v>
      </c>
      <c r="C189" s="374"/>
      <c r="D189" s="16" t="s">
        <v>15</v>
      </c>
      <c r="E189" s="258">
        <f t="shared" ref="E189" si="45">E188*0.057</f>
        <v>0.22800000000000001</v>
      </c>
      <c r="F189" s="258">
        <f t="shared" ref="F189" si="46">F188*0.23</f>
        <v>0</v>
      </c>
      <c r="G189" s="258">
        <f t="shared" ref="G189:I189" si="47">G188*0.014</f>
        <v>0</v>
      </c>
      <c r="H189" s="258">
        <f t="shared" si="47"/>
        <v>0</v>
      </c>
      <c r="I189" s="258">
        <f t="shared" si="47"/>
        <v>0</v>
      </c>
      <c r="J189" s="284">
        <f>SUM(E189:I189)</f>
        <v>0.22800000000000001</v>
      </c>
      <c r="K189" s="282">
        <v>0</v>
      </c>
      <c r="L189" s="67">
        <f t="shared" si="44"/>
        <v>0</v>
      </c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  <c r="AA189" s="131"/>
      <c r="AB189" s="131"/>
      <c r="AC189" s="131"/>
      <c r="AD189" s="131"/>
      <c r="AE189" s="131"/>
      <c r="AF189" s="131"/>
      <c r="AG189" s="131"/>
      <c r="AH189" s="131"/>
      <c r="AI189" s="131"/>
      <c r="AJ189" s="131"/>
    </row>
    <row r="190" spans="1:36" s="6" customFormat="1" ht="24.95" customHeight="1" x14ac:dyDescent="0.25">
      <c r="A190" s="11"/>
      <c r="B190" s="441" t="s">
        <v>211</v>
      </c>
      <c r="C190" s="441"/>
      <c r="D190" s="9"/>
      <c r="E190" s="228"/>
      <c r="F190" s="228"/>
      <c r="G190" s="228"/>
      <c r="H190" s="228"/>
      <c r="I190" s="228"/>
      <c r="J190" s="228"/>
      <c r="K190" s="54"/>
      <c r="L190" s="66">
        <f>SUM(L187:L189)</f>
        <v>0</v>
      </c>
      <c r="M190" s="131"/>
      <c r="N190" s="131"/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131"/>
      <c r="Z190" s="131"/>
      <c r="AA190" s="131"/>
      <c r="AB190" s="131"/>
      <c r="AC190" s="131"/>
      <c r="AD190" s="131"/>
      <c r="AE190" s="131"/>
      <c r="AF190" s="131"/>
      <c r="AG190" s="131"/>
      <c r="AH190" s="131"/>
      <c r="AI190" s="131"/>
      <c r="AJ190" s="131"/>
    </row>
    <row r="191" spans="1:36" s="6" customFormat="1" ht="24.95" customHeight="1" x14ac:dyDescent="0.25">
      <c r="A191" s="11"/>
      <c r="B191" s="408" t="s">
        <v>201</v>
      </c>
      <c r="C191" s="392"/>
      <c r="D191" s="392"/>
      <c r="E191" s="392"/>
      <c r="F191" s="392"/>
      <c r="G191" s="392"/>
      <c r="H191" s="392"/>
      <c r="I191" s="392"/>
      <c r="J191" s="392"/>
      <c r="K191" s="392"/>
      <c r="L191" s="392"/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  <c r="Z191" s="131"/>
      <c r="AA191" s="131"/>
      <c r="AB191" s="131"/>
      <c r="AC191" s="131"/>
      <c r="AD191" s="131"/>
      <c r="AE191" s="131"/>
      <c r="AF191" s="131"/>
      <c r="AG191" s="131"/>
      <c r="AH191" s="131"/>
      <c r="AI191" s="131"/>
      <c r="AJ191" s="131"/>
    </row>
    <row r="192" spans="1:36" s="6" customFormat="1" ht="24.95" customHeight="1" x14ac:dyDescent="0.25">
      <c r="A192" s="11" t="s">
        <v>77</v>
      </c>
      <c r="B192" s="373" t="s">
        <v>74</v>
      </c>
      <c r="C192" s="373"/>
      <c r="D192" s="11" t="s">
        <v>9</v>
      </c>
      <c r="E192" s="257">
        <v>1</v>
      </c>
      <c r="F192" s="258">
        <f t="shared" ref="F192:F193" si="48">F191*0.23</f>
        <v>0</v>
      </c>
      <c r="G192" s="257">
        <v>0</v>
      </c>
      <c r="H192" s="257">
        <v>0</v>
      </c>
      <c r="I192" s="257">
        <v>0</v>
      </c>
      <c r="J192" s="284">
        <f>SUM(E192:I192)</f>
        <v>1</v>
      </c>
      <c r="K192" s="44">
        <v>0</v>
      </c>
      <c r="L192" s="67">
        <f>J192*K192</f>
        <v>0</v>
      </c>
      <c r="M192" s="131"/>
      <c r="N192" s="131"/>
      <c r="O192" s="131"/>
      <c r="P192" s="131"/>
      <c r="Q192" s="131"/>
      <c r="R192" s="131"/>
      <c r="S192" s="131"/>
      <c r="T192" s="131"/>
      <c r="U192" s="131"/>
      <c r="V192" s="131"/>
      <c r="W192" s="131"/>
      <c r="X192" s="131"/>
      <c r="Y192" s="131"/>
      <c r="Z192" s="131"/>
      <c r="AA192" s="131"/>
      <c r="AB192" s="131"/>
      <c r="AC192" s="131"/>
      <c r="AD192" s="131"/>
      <c r="AE192" s="131"/>
      <c r="AF192" s="131"/>
      <c r="AG192" s="131"/>
      <c r="AH192" s="131"/>
      <c r="AI192" s="131"/>
      <c r="AJ192" s="131"/>
    </row>
    <row r="193" spans="1:36" s="6" customFormat="1" ht="24.95" customHeight="1" x14ac:dyDescent="0.25">
      <c r="A193" s="11" t="s">
        <v>78</v>
      </c>
      <c r="B193" s="373" t="s">
        <v>75</v>
      </c>
      <c r="C193" s="373"/>
      <c r="D193" s="11" t="s">
        <v>9</v>
      </c>
      <c r="E193" s="257">
        <v>1</v>
      </c>
      <c r="F193" s="258">
        <f t="shared" si="48"/>
        <v>0</v>
      </c>
      <c r="G193" s="257">
        <v>0</v>
      </c>
      <c r="H193" s="257">
        <v>0</v>
      </c>
      <c r="I193" s="257">
        <v>0</v>
      </c>
      <c r="J193" s="284">
        <f>SUM(E193:I193)</f>
        <v>1</v>
      </c>
      <c r="K193" s="44">
        <v>0</v>
      </c>
      <c r="L193" s="67">
        <f t="shared" ref="L193:L194" si="49">J193*K193</f>
        <v>0</v>
      </c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  <c r="AA193" s="131"/>
      <c r="AB193" s="131"/>
      <c r="AC193" s="131"/>
      <c r="AD193" s="131"/>
      <c r="AE193" s="131"/>
      <c r="AF193" s="131"/>
      <c r="AG193" s="131"/>
      <c r="AH193" s="131"/>
      <c r="AI193" s="131"/>
      <c r="AJ193" s="131"/>
    </row>
    <row r="194" spans="1:36" s="6" customFormat="1" ht="24.95" customHeight="1" x14ac:dyDescent="0.25">
      <c r="A194" s="16" t="s">
        <v>28</v>
      </c>
      <c r="B194" s="374" t="s">
        <v>189</v>
      </c>
      <c r="C194" s="374"/>
      <c r="D194" s="16" t="s">
        <v>15</v>
      </c>
      <c r="E194" s="258">
        <f t="shared" ref="E194" si="50">E193*0.077</f>
        <v>7.6999999999999999E-2</v>
      </c>
      <c r="F194" s="258">
        <f t="shared" ref="F194" si="51">F193*0.23</f>
        <v>0</v>
      </c>
      <c r="G194" s="258">
        <f t="shared" ref="G194:I194" si="52">G193*0.014</f>
        <v>0</v>
      </c>
      <c r="H194" s="258">
        <f t="shared" si="52"/>
        <v>0</v>
      </c>
      <c r="I194" s="258">
        <f t="shared" si="52"/>
        <v>0</v>
      </c>
      <c r="J194" s="284">
        <f>SUM(E194:I194)</f>
        <v>7.6999999999999999E-2</v>
      </c>
      <c r="K194" s="282">
        <v>0</v>
      </c>
      <c r="L194" s="67">
        <f t="shared" si="49"/>
        <v>0</v>
      </c>
      <c r="M194" s="131"/>
      <c r="N194" s="131"/>
      <c r="O194" s="131"/>
      <c r="P194" s="131"/>
      <c r="Q194" s="131"/>
      <c r="R194" s="131"/>
      <c r="S194" s="131"/>
      <c r="T194" s="131"/>
      <c r="U194" s="131"/>
      <c r="V194" s="131"/>
      <c r="W194" s="131"/>
      <c r="X194" s="131"/>
      <c r="Y194" s="131"/>
      <c r="Z194" s="131"/>
      <c r="AA194" s="131"/>
      <c r="AB194" s="131"/>
      <c r="AC194" s="131"/>
      <c r="AD194" s="131"/>
      <c r="AE194" s="131"/>
      <c r="AF194" s="131"/>
      <c r="AG194" s="131"/>
      <c r="AH194" s="131"/>
      <c r="AI194" s="131"/>
      <c r="AJ194" s="131"/>
    </row>
    <row r="195" spans="1:36" s="6" customFormat="1" ht="24.95" customHeight="1" x14ac:dyDescent="0.25">
      <c r="A195" s="11"/>
      <c r="B195" s="109" t="s">
        <v>209</v>
      </c>
      <c r="C195" s="109"/>
      <c r="D195" s="9"/>
      <c r="E195" s="228"/>
      <c r="F195" s="228"/>
      <c r="G195" s="228"/>
      <c r="H195" s="228"/>
      <c r="I195" s="228"/>
      <c r="J195" s="228"/>
      <c r="K195" s="54"/>
      <c r="L195" s="66">
        <f>SUM(L192:L194)</f>
        <v>0</v>
      </c>
      <c r="M195" s="131"/>
      <c r="N195" s="131"/>
      <c r="O195" s="131"/>
      <c r="P195" s="131"/>
      <c r="Q195" s="131"/>
      <c r="R195" s="131"/>
      <c r="S195" s="131"/>
      <c r="T195" s="131"/>
      <c r="U195" s="131"/>
      <c r="V195" s="131"/>
      <c r="W195" s="131"/>
      <c r="X195" s="131"/>
      <c r="Y195" s="131"/>
      <c r="Z195" s="131"/>
      <c r="AA195" s="131"/>
      <c r="AB195" s="131"/>
      <c r="AC195" s="131"/>
      <c r="AD195" s="131"/>
      <c r="AE195" s="131"/>
      <c r="AF195" s="131"/>
      <c r="AG195" s="131"/>
      <c r="AH195" s="131"/>
      <c r="AI195" s="131"/>
      <c r="AJ195" s="131"/>
    </row>
    <row r="196" spans="1:36" s="6" customFormat="1" ht="24.95" customHeight="1" x14ac:dyDescent="0.25">
      <c r="A196" s="11"/>
      <c r="B196" s="408" t="s">
        <v>202</v>
      </c>
      <c r="C196" s="392"/>
      <c r="D196" s="392"/>
      <c r="E196" s="392"/>
      <c r="F196" s="392"/>
      <c r="G196" s="392"/>
      <c r="H196" s="392"/>
      <c r="I196" s="392"/>
      <c r="J196" s="392"/>
      <c r="K196" s="392"/>
      <c r="L196" s="392"/>
      <c r="M196" s="131"/>
      <c r="N196" s="131"/>
      <c r="O196" s="131"/>
      <c r="P196" s="131"/>
      <c r="Q196" s="131"/>
      <c r="R196" s="131"/>
      <c r="S196" s="131"/>
      <c r="T196" s="131"/>
      <c r="U196" s="131"/>
      <c r="V196" s="131"/>
      <c r="W196" s="131"/>
      <c r="X196" s="131"/>
      <c r="Y196" s="131"/>
      <c r="Z196" s="131"/>
      <c r="AA196" s="131"/>
      <c r="AB196" s="131"/>
      <c r="AC196" s="131"/>
      <c r="AD196" s="131"/>
      <c r="AE196" s="131"/>
      <c r="AF196" s="131"/>
      <c r="AG196" s="131"/>
      <c r="AH196" s="131"/>
      <c r="AI196" s="131"/>
      <c r="AJ196" s="131"/>
    </row>
    <row r="197" spans="1:36" s="35" customFormat="1" ht="24.95" customHeight="1" x14ac:dyDescent="0.25">
      <c r="A197" s="369"/>
      <c r="B197" s="370" t="s">
        <v>7</v>
      </c>
      <c r="C197" s="370"/>
      <c r="D197" s="370" t="s">
        <v>194</v>
      </c>
      <c r="E197" s="371" t="s">
        <v>114</v>
      </c>
      <c r="F197" s="371"/>
      <c r="G197" s="371"/>
      <c r="H197" s="371"/>
      <c r="I197" s="371"/>
      <c r="J197" s="371"/>
      <c r="K197" s="372" t="s">
        <v>4</v>
      </c>
      <c r="L197" s="391" t="s">
        <v>115</v>
      </c>
      <c r="M197" s="130"/>
      <c r="N197" s="130"/>
      <c r="O197" s="130"/>
      <c r="P197" s="130"/>
      <c r="Q197" s="130"/>
      <c r="R197" s="130"/>
      <c r="S197" s="130"/>
      <c r="T197" s="130"/>
      <c r="U197" s="130"/>
      <c r="V197" s="130"/>
      <c r="W197" s="130"/>
      <c r="X197" s="130"/>
      <c r="Y197" s="130"/>
      <c r="Z197" s="130"/>
      <c r="AA197" s="130"/>
      <c r="AB197" s="130"/>
      <c r="AC197" s="130"/>
      <c r="AD197" s="130"/>
      <c r="AE197" s="130"/>
      <c r="AF197" s="130"/>
      <c r="AG197" s="130"/>
      <c r="AH197" s="130"/>
      <c r="AI197" s="130"/>
      <c r="AJ197" s="130"/>
    </row>
    <row r="198" spans="1:36" s="6" customFormat="1" ht="24.95" customHeight="1" x14ac:dyDescent="0.25">
      <c r="A198" s="369"/>
      <c r="B198" s="370"/>
      <c r="C198" s="370"/>
      <c r="D198" s="370"/>
      <c r="E198" s="259" t="s">
        <v>245</v>
      </c>
      <c r="F198" s="259" t="s">
        <v>246</v>
      </c>
      <c r="G198" s="259" t="s">
        <v>341</v>
      </c>
      <c r="H198" s="259" t="s">
        <v>342</v>
      </c>
      <c r="I198" s="259" t="s">
        <v>343</v>
      </c>
      <c r="J198" s="262" t="s">
        <v>8</v>
      </c>
      <c r="K198" s="372"/>
      <c r="L198" s="391"/>
      <c r="M198" s="131"/>
      <c r="N198" s="131"/>
      <c r="O198" s="131"/>
      <c r="P198" s="131"/>
      <c r="Q198" s="131"/>
      <c r="R198" s="131"/>
      <c r="S198" s="131"/>
      <c r="T198" s="131"/>
      <c r="U198" s="131"/>
      <c r="V198" s="131"/>
      <c r="W198" s="131"/>
      <c r="X198" s="131"/>
      <c r="Y198" s="131"/>
      <c r="Z198" s="131"/>
      <c r="AA198" s="131"/>
      <c r="AB198" s="131"/>
      <c r="AC198" s="131"/>
      <c r="AD198" s="131"/>
      <c r="AE198" s="131"/>
      <c r="AF198" s="131"/>
      <c r="AG198" s="131"/>
      <c r="AH198" s="131"/>
      <c r="AI198" s="131"/>
      <c r="AJ198" s="131"/>
    </row>
    <row r="199" spans="1:36" s="6" customFormat="1" ht="24.95" customHeight="1" x14ac:dyDescent="0.25">
      <c r="A199" s="11" t="s">
        <v>71</v>
      </c>
      <c r="B199" s="373" t="s">
        <v>76</v>
      </c>
      <c r="C199" s="373"/>
      <c r="D199" s="11" t="s">
        <v>9</v>
      </c>
      <c r="E199" s="257">
        <v>1</v>
      </c>
      <c r="F199" s="258">
        <f>F196*0.23</f>
        <v>0</v>
      </c>
      <c r="G199" s="257">
        <v>0</v>
      </c>
      <c r="H199" s="257">
        <v>0</v>
      </c>
      <c r="I199" s="257">
        <v>0</v>
      </c>
      <c r="J199" s="284">
        <f>SUM(E199:I199)</f>
        <v>1</v>
      </c>
      <c r="K199" s="44">
        <v>0</v>
      </c>
      <c r="L199" s="67">
        <f>J199*K199</f>
        <v>0</v>
      </c>
      <c r="M199" s="131"/>
      <c r="N199" s="131"/>
      <c r="O199" s="131"/>
      <c r="P199" s="131"/>
      <c r="Q199" s="131"/>
      <c r="R199" s="131"/>
      <c r="S199" s="131"/>
      <c r="T199" s="131"/>
      <c r="U199" s="131"/>
      <c r="V199" s="131"/>
      <c r="W199" s="131"/>
      <c r="X199" s="131"/>
      <c r="Y199" s="131"/>
      <c r="Z199" s="131"/>
      <c r="AA199" s="131"/>
      <c r="AB199" s="131"/>
      <c r="AC199" s="131"/>
      <c r="AD199" s="131"/>
      <c r="AE199" s="131"/>
      <c r="AF199" s="131"/>
      <c r="AG199" s="131"/>
      <c r="AH199" s="131"/>
      <c r="AI199" s="131"/>
      <c r="AJ199" s="131"/>
    </row>
    <row r="200" spans="1:36" s="6" customFormat="1" ht="24.95" customHeight="1" x14ac:dyDescent="0.25">
      <c r="A200" s="11" t="s">
        <v>72</v>
      </c>
      <c r="B200" s="373" t="s">
        <v>73</v>
      </c>
      <c r="C200" s="373"/>
      <c r="D200" s="11" t="s">
        <v>9</v>
      </c>
      <c r="E200" s="257">
        <v>1</v>
      </c>
      <c r="F200" s="258">
        <f t="shared" ref="F200" si="53">F199*0.23</f>
        <v>0</v>
      </c>
      <c r="G200" s="257">
        <v>0</v>
      </c>
      <c r="H200" s="257">
        <v>0</v>
      </c>
      <c r="I200" s="257">
        <v>0</v>
      </c>
      <c r="J200" s="284">
        <f>SUM(E200:I200)</f>
        <v>1</v>
      </c>
      <c r="K200" s="44">
        <v>0</v>
      </c>
      <c r="L200" s="67">
        <f t="shared" ref="L200:L201" si="54">J200*K200</f>
        <v>0</v>
      </c>
      <c r="M200" s="131"/>
      <c r="N200" s="131"/>
      <c r="O200" s="131"/>
      <c r="P200" s="131"/>
      <c r="Q200" s="131"/>
      <c r="R200" s="131"/>
      <c r="S200" s="131"/>
      <c r="T200" s="131"/>
      <c r="U200" s="131"/>
      <c r="V200" s="131"/>
      <c r="W200" s="131"/>
      <c r="X200" s="131"/>
      <c r="Y200" s="131"/>
      <c r="Z200" s="131"/>
      <c r="AA200" s="131"/>
      <c r="AB200" s="131"/>
      <c r="AC200" s="131"/>
      <c r="AD200" s="131"/>
      <c r="AE200" s="131"/>
      <c r="AF200" s="131"/>
      <c r="AG200" s="131"/>
      <c r="AH200" s="131"/>
      <c r="AI200" s="131"/>
      <c r="AJ200" s="131"/>
    </row>
    <row r="201" spans="1:36" s="6" customFormat="1" ht="24.95" customHeight="1" x14ac:dyDescent="0.25">
      <c r="A201" s="16" t="s">
        <v>28</v>
      </c>
      <c r="B201" s="374" t="s">
        <v>189</v>
      </c>
      <c r="C201" s="374"/>
      <c r="D201" s="16" t="s">
        <v>15</v>
      </c>
      <c r="E201" s="258">
        <f t="shared" ref="E201" si="55">E200*0.1</f>
        <v>0.1</v>
      </c>
      <c r="F201" s="258">
        <f t="shared" ref="F201" si="56">F200*0.23</f>
        <v>0</v>
      </c>
      <c r="G201" s="258">
        <f t="shared" ref="G201:I201" si="57">G200*0.014</f>
        <v>0</v>
      </c>
      <c r="H201" s="258">
        <f t="shared" si="57"/>
        <v>0</v>
      </c>
      <c r="I201" s="258">
        <f t="shared" si="57"/>
        <v>0</v>
      </c>
      <c r="J201" s="284">
        <f>SUM(E201:I201)</f>
        <v>0.1</v>
      </c>
      <c r="K201" s="282">
        <v>0</v>
      </c>
      <c r="L201" s="67">
        <f t="shared" si="54"/>
        <v>0</v>
      </c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  <c r="AA201" s="131"/>
      <c r="AB201" s="131"/>
      <c r="AC201" s="131"/>
      <c r="AD201" s="131"/>
      <c r="AE201" s="131"/>
      <c r="AF201" s="131"/>
      <c r="AG201" s="131"/>
      <c r="AH201" s="131"/>
      <c r="AI201" s="131"/>
      <c r="AJ201" s="131"/>
    </row>
    <row r="202" spans="1:36" s="6" customFormat="1" ht="24.95" customHeight="1" x14ac:dyDescent="0.25">
      <c r="A202" s="11"/>
      <c r="B202" s="405" t="s">
        <v>210</v>
      </c>
      <c r="C202" s="405"/>
      <c r="D202" s="9"/>
      <c r="E202" s="228"/>
      <c r="F202" s="228"/>
      <c r="G202" s="228"/>
      <c r="H202" s="228"/>
      <c r="I202" s="228"/>
      <c r="J202" s="228"/>
      <c r="K202" s="56"/>
      <c r="L202" s="66">
        <f>SUM(L199:L201)</f>
        <v>0</v>
      </c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  <c r="Z202" s="131"/>
      <c r="AA202" s="131"/>
      <c r="AB202" s="131"/>
      <c r="AC202" s="131"/>
      <c r="AD202" s="131"/>
      <c r="AE202" s="131"/>
      <c r="AF202" s="131"/>
      <c r="AG202" s="131"/>
      <c r="AH202" s="131"/>
      <c r="AI202" s="131"/>
      <c r="AJ202" s="131"/>
    </row>
    <row r="203" spans="1:36" ht="24.95" customHeight="1" x14ac:dyDescent="0.2">
      <c r="A203" s="11"/>
      <c r="B203" s="466" t="s">
        <v>34</v>
      </c>
      <c r="C203" s="435"/>
      <c r="D203" s="435"/>
      <c r="E203" s="435"/>
      <c r="F203" s="435"/>
      <c r="G203" s="435"/>
      <c r="H203" s="435"/>
      <c r="I203" s="435"/>
      <c r="J203" s="435"/>
      <c r="K203" s="435"/>
      <c r="L203" s="435"/>
    </row>
    <row r="204" spans="1:36" ht="48" customHeight="1" x14ac:dyDescent="0.2">
      <c r="A204" s="11" t="s">
        <v>27</v>
      </c>
      <c r="B204" s="490" t="s">
        <v>416</v>
      </c>
      <c r="C204" s="485"/>
      <c r="D204" s="32" t="s">
        <v>14</v>
      </c>
      <c r="E204" s="261">
        <v>96.1</v>
      </c>
      <c r="F204" s="261">
        <v>2272</v>
      </c>
      <c r="G204" s="258">
        <f t="shared" ref="G204" si="58">G203*0.014</f>
        <v>0</v>
      </c>
      <c r="H204" s="256">
        <v>87.5</v>
      </c>
      <c r="I204" s="256">
        <v>125.3</v>
      </c>
      <c r="J204" s="285">
        <f>SUM(E204:I204)</f>
        <v>2580.9</v>
      </c>
      <c r="K204" s="118">
        <v>0</v>
      </c>
      <c r="L204" s="118">
        <f>J204*K204</f>
        <v>0</v>
      </c>
    </row>
    <row r="205" spans="1:36" s="8" customFormat="1" ht="24.95" customHeight="1" x14ac:dyDescent="0.2">
      <c r="A205" s="38"/>
      <c r="B205" s="467" t="s">
        <v>35</v>
      </c>
      <c r="C205" s="467"/>
      <c r="D205" s="26"/>
      <c r="E205" s="229"/>
      <c r="F205" s="229"/>
      <c r="G205" s="229"/>
      <c r="H205" s="229"/>
      <c r="I205" s="229"/>
      <c r="J205" s="230"/>
      <c r="K205" s="27"/>
      <c r="L205" s="70">
        <f>+SUM(L204:L204)</f>
        <v>0</v>
      </c>
      <c r="M205" s="133"/>
      <c r="N205" s="133"/>
      <c r="O205" s="133"/>
      <c r="P205" s="133"/>
      <c r="Q205" s="133"/>
      <c r="R205" s="133"/>
      <c r="S205" s="133"/>
      <c r="T205" s="133"/>
      <c r="U205" s="133"/>
      <c r="V205" s="133"/>
      <c r="W205" s="133"/>
      <c r="X205" s="133"/>
      <c r="Y205" s="133"/>
      <c r="Z205" s="133"/>
      <c r="AA205" s="133"/>
      <c r="AB205" s="133"/>
      <c r="AC205" s="133"/>
      <c r="AD205" s="133"/>
      <c r="AE205" s="133"/>
      <c r="AF205" s="133"/>
      <c r="AG205" s="133"/>
      <c r="AH205" s="133"/>
      <c r="AI205" s="133"/>
      <c r="AJ205" s="133"/>
    </row>
    <row r="206" spans="1:36" s="6" customFormat="1" ht="24.95" customHeight="1" x14ac:dyDescent="0.25">
      <c r="A206" s="11"/>
      <c r="B206" s="488" t="s">
        <v>195</v>
      </c>
      <c r="C206" s="488"/>
      <c r="D206" s="488"/>
      <c r="E206" s="488"/>
      <c r="F206" s="488"/>
      <c r="G206" s="488"/>
      <c r="H206" s="488"/>
      <c r="I206" s="488"/>
      <c r="J206" s="488"/>
      <c r="K206" s="488"/>
      <c r="L206" s="66">
        <v>0</v>
      </c>
      <c r="M206" s="131"/>
      <c r="N206" s="131"/>
      <c r="O206" s="131"/>
      <c r="P206" s="131"/>
      <c r="Q206" s="131"/>
      <c r="R206" s="131"/>
      <c r="S206" s="131"/>
      <c r="T206" s="131"/>
      <c r="U206" s="131"/>
      <c r="V206" s="131"/>
      <c r="W206" s="131"/>
      <c r="X206" s="131"/>
      <c r="Y206" s="131"/>
      <c r="Z206" s="131"/>
      <c r="AA206" s="131"/>
      <c r="AB206" s="131"/>
      <c r="AC206" s="131"/>
      <c r="AD206" s="131"/>
      <c r="AE206" s="131"/>
      <c r="AF206" s="131"/>
      <c r="AG206" s="131"/>
      <c r="AH206" s="131"/>
      <c r="AI206" s="131"/>
      <c r="AJ206" s="131"/>
    </row>
    <row r="207" spans="1:36" s="255" customFormat="1" ht="34.5" customHeight="1" x14ac:dyDescent="0.25">
      <c r="A207" s="252"/>
      <c r="B207" s="489" t="s">
        <v>409</v>
      </c>
      <c r="C207" s="489"/>
      <c r="D207" s="489"/>
      <c r="E207" s="489"/>
      <c r="F207" s="489"/>
      <c r="G207" s="489"/>
      <c r="H207" s="489"/>
      <c r="I207" s="489"/>
      <c r="J207" s="489"/>
      <c r="K207" s="489"/>
      <c r="L207" s="253">
        <f>SUM(L206,L205,L202,L195,L190,L185,L180,L175,L170,L162,L157,L153,L148,L143)</f>
        <v>0</v>
      </c>
      <c r="M207" s="254"/>
      <c r="N207" s="254"/>
      <c r="O207" s="254"/>
      <c r="P207" s="254"/>
      <c r="Q207" s="254"/>
      <c r="R207" s="254"/>
      <c r="S207" s="254"/>
      <c r="T207" s="254"/>
      <c r="U207" s="254"/>
      <c r="V207" s="254"/>
      <c r="W207" s="254"/>
      <c r="X207" s="254"/>
      <c r="Y207" s="254"/>
      <c r="Z207" s="254"/>
      <c r="AA207" s="254"/>
      <c r="AB207" s="254"/>
      <c r="AC207" s="254"/>
      <c r="AD207" s="254"/>
      <c r="AE207" s="254"/>
      <c r="AF207" s="254"/>
      <c r="AG207" s="254"/>
      <c r="AH207" s="254"/>
      <c r="AI207" s="254"/>
      <c r="AJ207" s="254"/>
    </row>
    <row r="208" spans="1:36" s="267" customFormat="1" ht="35.1" customHeight="1" x14ac:dyDescent="0.2">
      <c r="A208" s="265"/>
      <c r="B208" s="426" t="s">
        <v>398</v>
      </c>
      <c r="C208" s="426"/>
      <c r="D208" s="426"/>
      <c r="E208" s="426"/>
      <c r="F208" s="426"/>
      <c r="G208" s="426"/>
      <c r="H208" s="426"/>
      <c r="I208" s="426"/>
      <c r="J208" s="426"/>
      <c r="K208" s="426"/>
      <c r="L208" s="426"/>
      <c r="M208" s="266"/>
      <c r="N208" s="266"/>
      <c r="O208" s="266"/>
      <c r="P208" s="266"/>
      <c r="Q208" s="266"/>
      <c r="R208" s="266"/>
      <c r="S208" s="266"/>
      <c r="T208" s="266"/>
      <c r="U208" s="266"/>
      <c r="V208" s="266"/>
      <c r="W208" s="266"/>
      <c r="X208" s="266"/>
      <c r="Y208" s="266"/>
      <c r="Z208" s="266"/>
      <c r="AA208" s="266"/>
      <c r="AB208" s="266"/>
      <c r="AC208" s="266"/>
      <c r="AD208" s="266"/>
      <c r="AE208" s="266"/>
      <c r="AF208" s="266"/>
      <c r="AG208" s="266"/>
      <c r="AH208" s="266"/>
      <c r="AI208" s="266"/>
      <c r="AJ208" s="266"/>
    </row>
    <row r="209" spans="1:36" s="35" customFormat="1" ht="24.95" customHeight="1" x14ac:dyDescent="0.25">
      <c r="A209" s="369"/>
      <c r="B209" s="370" t="s">
        <v>7</v>
      </c>
      <c r="C209" s="370"/>
      <c r="D209" s="370" t="s">
        <v>194</v>
      </c>
      <c r="E209" s="371" t="s">
        <v>114</v>
      </c>
      <c r="F209" s="371"/>
      <c r="G209" s="371"/>
      <c r="H209" s="371"/>
      <c r="I209" s="371"/>
      <c r="J209" s="371"/>
      <c r="K209" s="372" t="s">
        <v>4</v>
      </c>
      <c r="L209" s="391" t="s">
        <v>115</v>
      </c>
      <c r="M209" s="130"/>
      <c r="N209" s="130"/>
      <c r="O209" s="130"/>
      <c r="P209" s="130"/>
      <c r="Q209" s="130"/>
      <c r="R209" s="130"/>
      <c r="S209" s="130"/>
      <c r="T209" s="130"/>
      <c r="U209" s="130"/>
      <c r="V209" s="130"/>
      <c r="W209" s="130"/>
      <c r="X209" s="130"/>
      <c r="Y209" s="130"/>
      <c r="Z209" s="130"/>
      <c r="AA209" s="130"/>
      <c r="AB209" s="130"/>
      <c r="AC209" s="130"/>
      <c r="AD209" s="130"/>
      <c r="AE209" s="130"/>
      <c r="AF209" s="130"/>
      <c r="AG209" s="130"/>
      <c r="AH209" s="130"/>
      <c r="AI209" s="130"/>
      <c r="AJ209" s="130"/>
    </row>
    <row r="210" spans="1:36" s="6" customFormat="1" ht="24.95" customHeight="1" x14ac:dyDescent="0.25">
      <c r="A210" s="369"/>
      <c r="B210" s="370"/>
      <c r="C210" s="370"/>
      <c r="D210" s="370"/>
      <c r="E210" s="259" t="s">
        <v>245</v>
      </c>
      <c r="F210" s="259" t="s">
        <v>246</v>
      </c>
      <c r="G210" s="259" t="s">
        <v>341</v>
      </c>
      <c r="H210" s="259" t="s">
        <v>342</v>
      </c>
      <c r="I210" s="259" t="s">
        <v>343</v>
      </c>
      <c r="J210" s="262" t="s">
        <v>8</v>
      </c>
      <c r="K210" s="372"/>
      <c r="L210" s="391"/>
      <c r="M210" s="131"/>
      <c r="N210" s="131"/>
      <c r="O210" s="131"/>
      <c r="P210" s="131"/>
      <c r="Q210" s="131"/>
      <c r="R210" s="131"/>
      <c r="S210" s="131"/>
      <c r="T210" s="131"/>
      <c r="U210" s="131"/>
      <c r="V210" s="131"/>
      <c r="W210" s="131"/>
      <c r="X210" s="131"/>
      <c r="Y210" s="131"/>
      <c r="Z210" s="131"/>
      <c r="AA210" s="131"/>
      <c r="AB210" s="131"/>
      <c r="AC210" s="131"/>
      <c r="AD210" s="131"/>
      <c r="AE210" s="131"/>
      <c r="AF210" s="131"/>
      <c r="AG210" s="131"/>
      <c r="AH210" s="131"/>
      <c r="AI210" s="131"/>
      <c r="AJ210" s="131"/>
    </row>
    <row r="211" spans="1:36" s="264" customFormat="1" ht="24.95" customHeight="1" x14ac:dyDescent="0.25">
      <c r="A211" s="257"/>
      <c r="B211" s="377" t="s">
        <v>126</v>
      </c>
      <c r="C211" s="377"/>
      <c r="D211" s="377"/>
      <c r="E211" s="377"/>
      <c r="F211" s="377"/>
      <c r="G211" s="377"/>
      <c r="H211" s="377"/>
      <c r="I211" s="377"/>
      <c r="J211" s="377"/>
      <c r="K211" s="377"/>
      <c r="L211" s="377"/>
      <c r="M211" s="263"/>
      <c r="N211" s="263"/>
      <c r="O211" s="263"/>
      <c r="P211" s="263"/>
      <c r="Q211" s="263"/>
      <c r="R211" s="263"/>
      <c r="S211" s="263"/>
      <c r="T211" s="263"/>
      <c r="U211" s="263"/>
      <c r="V211" s="263"/>
      <c r="W211" s="263"/>
      <c r="X211" s="263"/>
      <c r="Y211" s="263"/>
      <c r="Z211" s="263"/>
      <c r="AA211" s="263"/>
      <c r="AB211" s="263"/>
      <c r="AC211" s="263"/>
      <c r="AD211" s="263"/>
      <c r="AE211" s="263"/>
      <c r="AF211" s="263"/>
      <c r="AG211" s="263"/>
      <c r="AH211" s="263"/>
      <c r="AI211" s="263"/>
      <c r="AJ211" s="263"/>
    </row>
    <row r="212" spans="1:36" s="269" customFormat="1" ht="24.95" customHeight="1" x14ac:dyDescent="0.2">
      <c r="A212" s="257"/>
      <c r="B212" s="376" t="s">
        <v>132</v>
      </c>
      <c r="C212" s="376"/>
      <c r="D212" s="376"/>
      <c r="E212" s="376"/>
      <c r="F212" s="376"/>
      <c r="G212" s="376"/>
      <c r="H212" s="376"/>
      <c r="I212" s="376"/>
      <c r="J212" s="376"/>
      <c r="K212" s="376"/>
      <c r="L212" s="376"/>
      <c r="M212" s="268"/>
      <c r="N212" s="268"/>
      <c r="O212" s="268"/>
      <c r="P212" s="268"/>
      <c r="Q212" s="268"/>
      <c r="R212" s="268"/>
      <c r="S212" s="268"/>
      <c r="T212" s="268"/>
      <c r="U212" s="268"/>
      <c r="V212" s="268"/>
      <c r="W212" s="268"/>
      <c r="X212" s="268"/>
      <c r="Y212" s="268"/>
      <c r="Z212" s="268"/>
      <c r="AA212" s="268"/>
      <c r="AB212" s="268"/>
      <c r="AC212" s="268"/>
      <c r="AD212" s="268"/>
      <c r="AE212" s="268"/>
      <c r="AF212" s="268"/>
      <c r="AG212" s="268"/>
      <c r="AH212" s="268"/>
      <c r="AI212" s="268"/>
      <c r="AJ212" s="268"/>
    </row>
    <row r="213" spans="1:36" s="269" customFormat="1" ht="24.95" customHeight="1" x14ac:dyDescent="0.2">
      <c r="A213" s="257" t="s">
        <v>134</v>
      </c>
      <c r="B213" s="375" t="s">
        <v>127</v>
      </c>
      <c r="C213" s="375"/>
      <c r="D213" s="257" t="s">
        <v>9</v>
      </c>
      <c r="E213" s="257">
        <v>0</v>
      </c>
      <c r="F213" s="257">
        <v>5</v>
      </c>
      <c r="G213" s="257">
        <v>0</v>
      </c>
      <c r="H213" s="257">
        <v>0</v>
      </c>
      <c r="I213" s="257">
        <v>1</v>
      </c>
      <c r="J213" s="278">
        <f t="shared" ref="J213:J219" si="59">SUM(E213:I213)</f>
        <v>6</v>
      </c>
      <c r="K213" s="281">
        <v>0</v>
      </c>
      <c r="L213" s="271">
        <f>J213*K213</f>
        <v>0</v>
      </c>
      <c r="M213" s="268"/>
      <c r="N213" s="268"/>
      <c r="O213" s="268"/>
      <c r="P213" s="268"/>
      <c r="Q213" s="268"/>
      <c r="R213" s="268"/>
      <c r="S213" s="268"/>
      <c r="T213" s="268"/>
      <c r="U213" s="268"/>
      <c r="V213" s="268"/>
      <c r="W213" s="268"/>
      <c r="X213" s="268"/>
      <c r="Y213" s="268"/>
      <c r="Z213" s="268"/>
      <c r="AA213" s="268"/>
      <c r="AB213" s="268"/>
      <c r="AC213" s="268"/>
      <c r="AD213" s="268"/>
      <c r="AE213" s="268"/>
      <c r="AF213" s="268"/>
      <c r="AG213" s="268"/>
      <c r="AH213" s="268"/>
      <c r="AI213" s="268"/>
      <c r="AJ213" s="268"/>
    </row>
    <row r="214" spans="1:36" s="269" customFormat="1" ht="24.95" customHeight="1" x14ac:dyDescent="0.2">
      <c r="A214" s="257" t="s">
        <v>135</v>
      </c>
      <c r="B214" s="375" t="s">
        <v>128</v>
      </c>
      <c r="C214" s="375"/>
      <c r="D214" s="257" t="s">
        <v>9</v>
      </c>
      <c r="E214" s="257">
        <v>2</v>
      </c>
      <c r="F214" s="257">
        <v>0</v>
      </c>
      <c r="G214" s="257">
        <v>0</v>
      </c>
      <c r="H214" s="257">
        <v>0</v>
      </c>
      <c r="I214" s="257">
        <v>1</v>
      </c>
      <c r="J214" s="278">
        <f t="shared" si="59"/>
        <v>3</v>
      </c>
      <c r="K214" s="281">
        <v>0</v>
      </c>
      <c r="L214" s="271">
        <f t="shared" ref="L214:L219" si="60">J214*K214</f>
        <v>0</v>
      </c>
      <c r="M214" s="268"/>
      <c r="N214" s="268"/>
      <c r="O214" s="268"/>
      <c r="P214" s="268"/>
      <c r="Q214" s="268"/>
      <c r="R214" s="268"/>
      <c r="S214" s="268"/>
      <c r="T214" s="268"/>
      <c r="U214" s="268"/>
      <c r="V214" s="268"/>
      <c r="W214" s="268"/>
      <c r="X214" s="268"/>
      <c r="Y214" s="268"/>
      <c r="Z214" s="268"/>
      <c r="AA214" s="268"/>
      <c r="AB214" s="268"/>
      <c r="AC214" s="268"/>
      <c r="AD214" s="268"/>
      <c r="AE214" s="268"/>
      <c r="AF214" s="268"/>
      <c r="AG214" s="268"/>
      <c r="AH214" s="268"/>
      <c r="AI214" s="268"/>
      <c r="AJ214" s="268"/>
    </row>
    <row r="215" spans="1:36" s="269" customFormat="1" ht="24.95" customHeight="1" x14ac:dyDescent="0.2">
      <c r="A215" s="257" t="s">
        <v>136</v>
      </c>
      <c r="B215" s="375" t="s">
        <v>129</v>
      </c>
      <c r="C215" s="375"/>
      <c r="D215" s="257" t="s">
        <v>9</v>
      </c>
      <c r="E215" s="257">
        <v>11</v>
      </c>
      <c r="F215" s="257">
        <v>0</v>
      </c>
      <c r="G215" s="257">
        <v>0</v>
      </c>
      <c r="H215" s="257">
        <v>0</v>
      </c>
      <c r="I215" s="257">
        <v>0</v>
      </c>
      <c r="J215" s="278">
        <f t="shared" si="59"/>
        <v>11</v>
      </c>
      <c r="K215" s="281">
        <v>0</v>
      </c>
      <c r="L215" s="271">
        <f t="shared" si="60"/>
        <v>0</v>
      </c>
      <c r="M215" s="268"/>
      <c r="N215" s="268"/>
      <c r="O215" s="268"/>
      <c r="P215" s="268"/>
      <c r="Q215" s="268"/>
      <c r="R215" s="268"/>
      <c r="S215" s="268"/>
      <c r="T215" s="268"/>
      <c r="U215" s="268"/>
      <c r="V215" s="268"/>
      <c r="W215" s="268"/>
      <c r="X215" s="268"/>
      <c r="Y215" s="268"/>
      <c r="Z215" s="268"/>
      <c r="AA215" s="268"/>
      <c r="AB215" s="268"/>
      <c r="AC215" s="268"/>
      <c r="AD215" s="268"/>
      <c r="AE215" s="268"/>
      <c r="AF215" s="268"/>
      <c r="AG215" s="268"/>
      <c r="AH215" s="268"/>
      <c r="AI215" s="268"/>
      <c r="AJ215" s="268"/>
    </row>
    <row r="216" spans="1:36" s="269" customFormat="1" ht="24.95" customHeight="1" x14ac:dyDescent="0.2">
      <c r="A216" s="257" t="s">
        <v>137</v>
      </c>
      <c r="B216" s="375" t="s">
        <v>130</v>
      </c>
      <c r="C216" s="375"/>
      <c r="D216" s="257" t="s">
        <v>9</v>
      </c>
      <c r="E216" s="257">
        <v>3</v>
      </c>
      <c r="F216" s="257">
        <v>0</v>
      </c>
      <c r="G216" s="257">
        <v>0</v>
      </c>
      <c r="H216" s="257">
        <v>0</v>
      </c>
      <c r="I216" s="257">
        <v>0</v>
      </c>
      <c r="J216" s="278">
        <f t="shared" si="59"/>
        <v>3</v>
      </c>
      <c r="K216" s="281">
        <v>0</v>
      </c>
      <c r="L216" s="271">
        <f t="shared" si="60"/>
        <v>0</v>
      </c>
      <c r="M216" s="268"/>
      <c r="N216" s="268"/>
      <c r="O216" s="268"/>
      <c r="P216" s="268"/>
      <c r="Q216" s="268"/>
      <c r="R216" s="268"/>
      <c r="S216" s="268"/>
      <c r="T216" s="268"/>
      <c r="U216" s="268"/>
      <c r="V216" s="268"/>
      <c r="W216" s="268"/>
      <c r="X216" s="268"/>
      <c r="Y216" s="268"/>
      <c r="Z216" s="268"/>
      <c r="AA216" s="268"/>
      <c r="AB216" s="268"/>
      <c r="AC216" s="268"/>
      <c r="AD216" s="268"/>
      <c r="AE216" s="268"/>
      <c r="AF216" s="268"/>
      <c r="AG216" s="268"/>
      <c r="AH216" s="268"/>
      <c r="AI216" s="268"/>
      <c r="AJ216" s="268"/>
    </row>
    <row r="217" spans="1:36" s="269" customFormat="1" ht="24.95" customHeight="1" x14ac:dyDescent="0.2">
      <c r="A217" s="257" t="s">
        <v>192</v>
      </c>
      <c r="B217" s="375" t="s">
        <v>190</v>
      </c>
      <c r="C217" s="375"/>
      <c r="D217" s="257" t="s">
        <v>9</v>
      </c>
      <c r="E217" s="257">
        <v>2</v>
      </c>
      <c r="F217" s="257">
        <v>0</v>
      </c>
      <c r="G217" s="257">
        <v>0</v>
      </c>
      <c r="H217" s="257">
        <v>0</v>
      </c>
      <c r="I217" s="257">
        <v>0</v>
      </c>
      <c r="J217" s="278">
        <f t="shared" si="59"/>
        <v>2</v>
      </c>
      <c r="K217" s="281">
        <v>0</v>
      </c>
      <c r="L217" s="271">
        <f t="shared" si="60"/>
        <v>0</v>
      </c>
      <c r="M217" s="268"/>
      <c r="N217" s="268"/>
      <c r="O217" s="268"/>
      <c r="P217" s="268"/>
      <c r="Q217" s="268"/>
      <c r="R217" s="268"/>
      <c r="S217" s="268"/>
      <c r="T217" s="268"/>
      <c r="U217" s="268"/>
      <c r="V217" s="268"/>
      <c r="W217" s="268"/>
      <c r="X217" s="268"/>
      <c r="Y217" s="268"/>
      <c r="Z217" s="268"/>
      <c r="AA217" s="268"/>
      <c r="AB217" s="268"/>
      <c r="AC217" s="268"/>
      <c r="AD217" s="268"/>
      <c r="AE217" s="268"/>
      <c r="AF217" s="268"/>
      <c r="AG217" s="268"/>
      <c r="AH217" s="268"/>
      <c r="AI217" s="268"/>
      <c r="AJ217" s="268"/>
    </row>
    <row r="218" spans="1:36" s="269" customFormat="1" ht="24.95" customHeight="1" x14ac:dyDescent="0.2">
      <c r="A218" s="257" t="s">
        <v>138</v>
      </c>
      <c r="B218" s="375" t="s">
        <v>131</v>
      </c>
      <c r="C218" s="375"/>
      <c r="D218" s="257" t="s">
        <v>9</v>
      </c>
      <c r="E218" s="257">
        <v>1</v>
      </c>
      <c r="F218" s="257">
        <v>0</v>
      </c>
      <c r="G218" s="257">
        <v>0</v>
      </c>
      <c r="H218" s="257">
        <v>0</v>
      </c>
      <c r="I218" s="257">
        <v>0</v>
      </c>
      <c r="J218" s="278">
        <f t="shared" si="59"/>
        <v>1</v>
      </c>
      <c r="K218" s="281">
        <v>0</v>
      </c>
      <c r="L218" s="271">
        <f t="shared" si="60"/>
        <v>0</v>
      </c>
      <c r="M218" s="268"/>
      <c r="N218" s="268"/>
      <c r="O218" s="268"/>
      <c r="P218" s="268"/>
      <c r="Q218" s="268"/>
      <c r="R218" s="268"/>
      <c r="S218" s="268"/>
      <c r="T218" s="268"/>
      <c r="U218" s="268"/>
      <c r="V218" s="268"/>
      <c r="W218" s="268"/>
      <c r="X218" s="268"/>
      <c r="Y218" s="268"/>
      <c r="Z218" s="268"/>
      <c r="AA218" s="268"/>
      <c r="AB218" s="268"/>
      <c r="AC218" s="268"/>
      <c r="AD218" s="268"/>
      <c r="AE218" s="268"/>
      <c r="AF218" s="268"/>
      <c r="AG218" s="268"/>
      <c r="AH218" s="268"/>
      <c r="AI218" s="268"/>
      <c r="AJ218" s="268"/>
    </row>
    <row r="219" spans="1:36" s="269" customFormat="1" ht="24.95" customHeight="1" x14ac:dyDescent="0.2">
      <c r="A219" s="257" t="s">
        <v>193</v>
      </c>
      <c r="B219" s="375" t="s">
        <v>191</v>
      </c>
      <c r="C219" s="375"/>
      <c r="D219" s="257" t="s">
        <v>9</v>
      </c>
      <c r="E219" s="257">
        <v>1</v>
      </c>
      <c r="F219" s="257">
        <v>0</v>
      </c>
      <c r="G219" s="257">
        <v>0</v>
      </c>
      <c r="H219" s="257">
        <v>0</v>
      </c>
      <c r="I219" s="257">
        <v>0</v>
      </c>
      <c r="J219" s="278">
        <f t="shared" si="59"/>
        <v>1</v>
      </c>
      <c r="K219" s="281">
        <v>0</v>
      </c>
      <c r="L219" s="271">
        <f t="shared" si="60"/>
        <v>0</v>
      </c>
      <c r="M219" s="268"/>
      <c r="N219" s="268"/>
      <c r="O219" s="268"/>
      <c r="P219" s="268"/>
      <c r="Q219" s="268"/>
      <c r="R219" s="268"/>
      <c r="S219" s="268"/>
      <c r="T219" s="268"/>
      <c r="U219" s="268"/>
      <c r="V219" s="268"/>
      <c r="W219" s="268"/>
      <c r="X219" s="268"/>
      <c r="Y219" s="268"/>
      <c r="Z219" s="268"/>
      <c r="AA219" s="268"/>
      <c r="AB219" s="268"/>
      <c r="AC219" s="268"/>
      <c r="AD219" s="268"/>
      <c r="AE219" s="268"/>
      <c r="AF219" s="268"/>
      <c r="AG219" s="268"/>
      <c r="AH219" s="268"/>
      <c r="AI219" s="268"/>
      <c r="AJ219" s="268"/>
    </row>
    <row r="220" spans="1:36" s="269" customFormat="1" ht="24.95" customHeight="1" x14ac:dyDescent="0.2">
      <c r="A220" s="257" t="s">
        <v>27</v>
      </c>
      <c r="B220" s="378" t="s">
        <v>417</v>
      </c>
      <c r="C220" s="378"/>
      <c r="D220" s="257" t="s">
        <v>241</v>
      </c>
      <c r="E220" s="463">
        <v>1</v>
      </c>
      <c r="F220" s="464"/>
      <c r="G220" s="464"/>
      <c r="H220" s="464"/>
      <c r="I220" s="464"/>
      <c r="J220" s="465"/>
      <c r="K220" s="272">
        <v>0</v>
      </c>
      <c r="L220" s="271">
        <f>E220*K220</f>
        <v>0</v>
      </c>
      <c r="M220" s="268"/>
      <c r="N220" s="268"/>
      <c r="O220" s="268"/>
      <c r="P220" s="268"/>
      <c r="Q220" s="268"/>
      <c r="R220" s="268"/>
      <c r="S220" s="268"/>
      <c r="T220" s="268"/>
      <c r="U220" s="268"/>
      <c r="V220" s="268"/>
      <c r="W220" s="268"/>
      <c r="X220" s="268"/>
      <c r="Y220" s="268"/>
      <c r="Z220" s="268"/>
      <c r="AA220" s="268"/>
      <c r="AB220" s="268"/>
      <c r="AC220" s="268"/>
      <c r="AD220" s="268"/>
      <c r="AE220" s="268"/>
      <c r="AF220" s="268"/>
      <c r="AG220" s="268"/>
      <c r="AH220" s="268"/>
      <c r="AI220" s="268"/>
      <c r="AJ220" s="268"/>
    </row>
    <row r="221" spans="1:36" s="269" customFormat="1" ht="24.95" customHeight="1" x14ac:dyDescent="0.2">
      <c r="A221" s="257"/>
      <c r="B221" s="379" t="s">
        <v>133</v>
      </c>
      <c r="C221" s="379"/>
      <c r="D221" s="273"/>
      <c r="E221" s="273"/>
      <c r="F221" s="273"/>
      <c r="G221" s="273"/>
      <c r="H221" s="273"/>
      <c r="I221" s="273"/>
      <c r="J221" s="274"/>
      <c r="K221" s="275"/>
      <c r="L221" s="276">
        <f>SUM(L213:L220)</f>
        <v>0</v>
      </c>
      <c r="M221" s="268"/>
      <c r="N221" s="268"/>
      <c r="O221" s="268"/>
      <c r="P221" s="268"/>
      <c r="Q221" s="268"/>
      <c r="R221" s="268"/>
      <c r="S221" s="268"/>
      <c r="T221" s="268"/>
      <c r="U221" s="268"/>
      <c r="V221" s="268"/>
      <c r="W221" s="268"/>
      <c r="X221" s="268"/>
      <c r="Y221" s="268"/>
      <c r="Z221" s="268"/>
      <c r="AA221" s="268"/>
      <c r="AB221" s="268"/>
      <c r="AC221" s="268"/>
      <c r="AD221" s="268"/>
      <c r="AE221" s="268"/>
      <c r="AF221" s="268"/>
      <c r="AG221" s="268"/>
      <c r="AH221" s="268"/>
      <c r="AI221" s="268"/>
      <c r="AJ221" s="268"/>
    </row>
    <row r="222" spans="1:36" s="269" customFormat="1" ht="24.95" customHeight="1" x14ac:dyDescent="0.2">
      <c r="A222" s="257"/>
      <c r="B222" s="376" t="s">
        <v>365</v>
      </c>
      <c r="C222" s="376"/>
      <c r="D222" s="376"/>
      <c r="E222" s="376"/>
      <c r="F222" s="376"/>
      <c r="G222" s="376"/>
      <c r="H222" s="376"/>
      <c r="I222" s="376"/>
      <c r="J222" s="376"/>
      <c r="K222" s="376"/>
      <c r="L222" s="376"/>
      <c r="M222" s="268"/>
      <c r="N222" s="268"/>
      <c r="O222" s="268"/>
      <c r="P222" s="268"/>
      <c r="Q222" s="268"/>
      <c r="R222" s="268"/>
      <c r="S222" s="268"/>
      <c r="T222" s="268"/>
      <c r="U222" s="268"/>
      <c r="V222" s="268"/>
      <c r="W222" s="268"/>
      <c r="X222" s="268"/>
      <c r="Y222" s="268"/>
      <c r="Z222" s="268"/>
      <c r="AA222" s="268"/>
      <c r="AB222" s="268"/>
      <c r="AC222" s="268"/>
      <c r="AD222" s="268"/>
      <c r="AE222" s="268"/>
      <c r="AF222" s="268"/>
      <c r="AG222" s="268"/>
      <c r="AH222" s="268"/>
      <c r="AI222" s="268"/>
      <c r="AJ222" s="268"/>
    </row>
    <row r="223" spans="1:36" s="269" customFormat="1" ht="24.95" customHeight="1" x14ac:dyDescent="0.2">
      <c r="A223" s="257" t="s">
        <v>27</v>
      </c>
      <c r="B223" s="375" t="s">
        <v>365</v>
      </c>
      <c r="C223" s="375"/>
      <c r="D223" s="257" t="s">
        <v>9</v>
      </c>
      <c r="E223" s="257">
        <v>0</v>
      </c>
      <c r="F223" s="257">
        <v>0</v>
      </c>
      <c r="G223" s="257">
        <v>0</v>
      </c>
      <c r="H223" s="257">
        <v>0</v>
      </c>
      <c r="I223" s="257">
        <v>1</v>
      </c>
      <c r="J223" s="278">
        <f>SUM(E223:I223)</f>
        <v>1</v>
      </c>
      <c r="K223" s="277">
        <v>0</v>
      </c>
      <c r="L223" s="271">
        <f>J223*K223</f>
        <v>0</v>
      </c>
      <c r="M223" s="268"/>
      <c r="N223" s="268"/>
      <c r="O223" s="268"/>
      <c r="P223" s="268"/>
      <c r="Q223" s="268"/>
      <c r="R223" s="268"/>
      <c r="S223" s="268"/>
      <c r="T223" s="268"/>
      <c r="U223" s="268"/>
      <c r="V223" s="268"/>
      <c r="W223" s="268"/>
      <c r="X223" s="268"/>
      <c r="Y223" s="268"/>
      <c r="Z223" s="268"/>
      <c r="AA223" s="268"/>
      <c r="AB223" s="268"/>
      <c r="AC223" s="268"/>
      <c r="AD223" s="268"/>
      <c r="AE223" s="268"/>
      <c r="AF223" s="268"/>
      <c r="AG223" s="268"/>
      <c r="AH223" s="268"/>
      <c r="AI223" s="268"/>
      <c r="AJ223" s="268"/>
    </row>
    <row r="224" spans="1:36" s="269" customFormat="1" ht="24.95" customHeight="1" x14ac:dyDescent="0.2">
      <c r="A224" s="257" t="s">
        <v>27</v>
      </c>
      <c r="B224" s="378" t="s">
        <v>417</v>
      </c>
      <c r="C224" s="378"/>
      <c r="D224" s="257" t="s">
        <v>241</v>
      </c>
      <c r="E224" s="463">
        <v>1</v>
      </c>
      <c r="F224" s="464"/>
      <c r="G224" s="464"/>
      <c r="H224" s="464"/>
      <c r="I224" s="464"/>
      <c r="J224" s="465"/>
      <c r="K224" s="272">
        <v>0</v>
      </c>
      <c r="L224" s="271">
        <f>E224*K224</f>
        <v>0</v>
      </c>
      <c r="M224" s="268"/>
      <c r="N224" s="268"/>
      <c r="O224" s="268"/>
      <c r="P224" s="268"/>
      <c r="Q224" s="268"/>
      <c r="R224" s="268"/>
      <c r="S224" s="268"/>
      <c r="T224" s="268"/>
      <c r="U224" s="268"/>
      <c r="V224" s="268"/>
      <c r="W224" s="268"/>
      <c r="X224" s="268"/>
      <c r="Y224" s="268"/>
      <c r="Z224" s="268"/>
      <c r="AA224" s="268"/>
      <c r="AB224" s="268"/>
      <c r="AC224" s="268"/>
      <c r="AD224" s="268"/>
      <c r="AE224" s="268"/>
      <c r="AF224" s="268"/>
      <c r="AG224" s="268"/>
      <c r="AH224" s="268"/>
      <c r="AI224" s="268"/>
      <c r="AJ224" s="268"/>
    </row>
    <row r="225" spans="1:36" s="269" customFormat="1" ht="24.95" customHeight="1" x14ac:dyDescent="0.2">
      <c r="A225" s="257"/>
      <c r="B225" s="461" t="s">
        <v>366</v>
      </c>
      <c r="C225" s="461"/>
      <c r="D225" s="273"/>
      <c r="E225" s="273"/>
      <c r="F225" s="273"/>
      <c r="G225" s="273"/>
      <c r="H225" s="273"/>
      <c r="I225" s="273"/>
      <c r="J225" s="274"/>
      <c r="K225" s="275"/>
      <c r="L225" s="276">
        <f>SUM(L223:L224)</f>
        <v>0</v>
      </c>
      <c r="M225" s="268"/>
      <c r="N225" s="268"/>
      <c r="O225" s="268"/>
      <c r="P225" s="268"/>
      <c r="Q225" s="268"/>
      <c r="R225" s="268"/>
      <c r="S225" s="268"/>
      <c r="T225" s="268"/>
      <c r="U225" s="268"/>
      <c r="V225" s="268"/>
      <c r="W225" s="268"/>
      <c r="X225" s="268"/>
      <c r="Y225" s="268"/>
      <c r="Z225" s="268"/>
      <c r="AA225" s="268"/>
      <c r="AB225" s="268"/>
      <c r="AC225" s="268"/>
      <c r="AD225" s="268"/>
      <c r="AE225" s="268"/>
      <c r="AF225" s="268"/>
      <c r="AG225" s="268"/>
      <c r="AH225" s="268"/>
      <c r="AI225" s="268"/>
      <c r="AJ225" s="268"/>
    </row>
    <row r="226" spans="1:36" s="251" customFormat="1" ht="36" customHeight="1" x14ac:dyDescent="0.2">
      <c r="A226" s="279"/>
      <c r="B226" s="413" t="s">
        <v>408</v>
      </c>
      <c r="C226" s="413"/>
      <c r="D226" s="413"/>
      <c r="E226" s="413"/>
      <c r="F226" s="413"/>
      <c r="G226" s="413"/>
      <c r="H226" s="413"/>
      <c r="I226" s="413"/>
      <c r="J226" s="413"/>
      <c r="K226" s="413"/>
      <c r="L226" s="280">
        <f>SUM(L225,L221)</f>
        <v>0</v>
      </c>
      <c r="M226" s="250"/>
      <c r="N226" s="250"/>
      <c r="O226" s="250"/>
      <c r="P226" s="250"/>
      <c r="Q226" s="250"/>
      <c r="R226" s="250"/>
      <c r="S226" s="250"/>
      <c r="T226" s="250"/>
      <c r="U226" s="250"/>
      <c r="V226" s="250"/>
      <c r="W226" s="250"/>
      <c r="X226" s="250"/>
      <c r="Y226" s="250"/>
      <c r="Z226" s="250"/>
      <c r="AA226" s="250"/>
      <c r="AB226" s="250"/>
      <c r="AC226" s="250"/>
      <c r="AD226" s="250"/>
      <c r="AE226" s="250"/>
      <c r="AF226" s="250"/>
      <c r="AG226" s="250"/>
      <c r="AH226" s="250"/>
      <c r="AI226" s="250"/>
      <c r="AJ226" s="250"/>
    </row>
    <row r="227" spans="1:36" s="249" customFormat="1" ht="37.5" customHeight="1" x14ac:dyDescent="0.2">
      <c r="A227" s="247"/>
      <c r="B227" s="410" t="s">
        <v>399</v>
      </c>
      <c r="C227" s="411"/>
      <c r="D227" s="411"/>
      <c r="E227" s="411"/>
      <c r="F227" s="411"/>
      <c r="G227" s="411"/>
      <c r="H227" s="411"/>
      <c r="I227" s="411"/>
      <c r="J227" s="411"/>
      <c r="K227" s="411"/>
      <c r="L227" s="412"/>
      <c r="M227" s="248"/>
      <c r="N227" s="248"/>
      <c r="O227" s="248"/>
      <c r="P227" s="248"/>
      <c r="Q227" s="248"/>
      <c r="R227" s="248"/>
      <c r="S227" s="248"/>
      <c r="T227" s="248"/>
      <c r="U227" s="248"/>
      <c r="V227" s="248"/>
      <c r="W227" s="248"/>
      <c r="X227" s="248"/>
      <c r="Y227" s="248"/>
      <c r="Z227" s="248"/>
      <c r="AA227" s="248"/>
      <c r="AB227" s="248"/>
      <c r="AC227" s="248"/>
      <c r="AD227" s="248"/>
      <c r="AE227" s="248"/>
      <c r="AF227" s="248"/>
      <c r="AG227" s="248"/>
      <c r="AH227" s="248"/>
      <c r="AI227" s="248"/>
      <c r="AJ227" s="248"/>
    </row>
    <row r="228" spans="1:36" s="35" customFormat="1" ht="24.95" customHeight="1" x14ac:dyDescent="0.25">
      <c r="A228" s="369"/>
      <c r="B228" s="370" t="s">
        <v>7</v>
      </c>
      <c r="C228" s="370"/>
      <c r="D228" s="370" t="s">
        <v>194</v>
      </c>
      <c r="E228" s="371" t="s">
        <v>114</v>
      </c>
      <c r="F228" s="371"/>
      <c r="G228" s="371"/>
      <c r="H228" s="371"/>
      <c r="I228" s="371"/>
      <c r="J228" s="371"/>
      <c r="K228" s="372" t="s">
        <v>4</v>
      </c>
      <c r="L228" s="391" t="s">
        <v>115</v>
      </c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30"/>
      <c r="AI228" s="130"/>
      <c r="AJ228" s="130"/>
    </row>
    <row r="229" spans="1:36" s="6" customFormat="1" ht="24.95" customHeight="1" x14ac:dyDescent="0.25">
      <c r="A229" s="369"/>
      <c r="B229" s="370"/>
      <c r="C229" s="370"/>
      <c r="D229" s="370"/>
      <c r="E229" s="259" t="s">
        <v>245</v>
      </c>
      <c r="F229" s="259" t="s">
        <v>246</v>
      </c>
      <c r="G229" s="259" t="s">
        <v>341</v>
      </c>
      <c r="H229" s="259" t="s">
        <v>342</v>
      </c>
      <c r="I229" s="259" t="s">
        <v>343</v>
      </c>
      <c r="J229" s="262" t="s">
        <v>8</v>
      </c>
      <c r="K229" s="372"/>
      <c r="L229" s="391"/>
      <c r="M229" s="131"/>
      <c r="N229" s="131"/>
      <c r="O229" s="131"/>
      <c r="P229" s="131"/>
      <c r="Q229" s="131"/>
      <c r="R229" s="131"/>
      <c r="S229" s="131"/>
      <c r="T229" s="131"/>
      <c r="U229" s="131"/>
      <c r="V229" s="131"/>
      <c r="W229" s="131"/>
      <c r="X229" s="131"/>
      <c r="Y229" s="131"/>
      <c r="Z229" s="131"/>
      <c r="AA229" s="131"/>
      <c r="AB229" s="131"/>
      <c r="AC229" s="131"/>
      <c r="AD229" s="131"/>
      <c r="AE229" s="131"/>
      <c r="AF229" s="131"/>
      <c r="AG229" s="131"/>
      <c r="AH229" s="131"/>
      <c r="AI229" s="131"/>
      <c r="AJ229" s="131"/>
    </row>
    <row r="230" spans="1:36" ht="24.95" customHeight="1" x14ac:dyDescent="0.2">
      <c r="A230" s="11"/>
      <c r="B230" s="435" t="s">
        <v>16</v>
      </c>
      <c r="C230" s="435"/>
      <c r="D230" s="435"/>
      <c r="E230" s="435"/>
      <c r="F230" s="435"/>
      <c r="G230" s="435"/>
      <c r="H230" s="435"/>
      <c r="I230" s="435"/>
      <c r="J230" s="435"/>
      <c r="K230" s="435"/>
      <c r="L230" s="435"/>
    </row>
    <row r="231" spans="1:36" s="34" customFormat="1" ht="24.75" customHeight="1" x14ac:dyDescent="0.2">
      <c r="A231" s="33" t="s">
        <v>27</v>
      </c>
      <c r="B231" s="392" t="s">
        <v>181</v>
      </c>
      <c r="C231" s="392"/>
      <c r="D231" s="32" t="s">
        <v>14</v>
      </c>
      <c r="E231" s="306">
        <v>191</v>
      </c>
      <c r="F231" s="256">
        <v>0</v>
      </c>
      <c r="G231" s="256">
        <v>110</v>
      </c>
      <c r="H231" s="256">
        <f>SUM(H232:H233)</f>
        <v>1058.5999999999999</v>
      </c>
      <c r="I231" s="256">
        <v>0</v>
      </c>
      <c r="J231" s="332">
        <f t="shared" ref="J231:J242" si="61">SUM(E231:I231)</f>
        <v>1359.6</v>
      </c>
      <c r="K231" s="60">
        <v>0</v>
      </c>
      <c r="L231" s="118">
        <f>K231*J231</f>
        <v>0</v>
      </c>
      <c r="M231" s="134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  <c r="Z231" s="129"/>
      <c r="AA231" s="129"/>
      <c r="AB231" s="129"/>
      <c r="AC231" s="129"/>
      <c r="AD231" s="129"/>
      <c r="AE231" s="129"/>
      <c r="AF231" s="129"/>
      <c r="AG231" s="129"/>
      <c r="AH231" s="129"/>
      <c r="AI231" s="129"/>
      <c r="AJ231" s="129"/>
    </row>
    <row r="232" spans="1:36" s="34" customFormat="1" ht="24.95" customHeight="1" x14ac:dyDescent="0.2">
      <c r="A232" s="32" t="s">
        <v>55</v>
      </c>
      <c r="B232" s="393" t="s">
        <v>32</v>
      </c>
      <c r="C232" s="394"/>
      <c r="D232" s="32" t="s">
        <v>14</v>
      </c>
      <c r="E232" s="256">
        <v>91</v>
      </c>
      <c r="F232" s="256">
        <v>0</v>
      </c>
      <c r="G232" s="256">
        <v>0</v>
      </c>
      <c r="H232" s="256">
        <f>29</f>
        <v>29</v>
      </c>
      <c r="I232" s="256">
        <v>0</v>
      </c>
      <c r="J232" s="332">
        <f t="shared" si="61"/>
        <v>120</v>
      </c>
      <c r="K232" s="20">
        <v>0</v>
      </c>
      <c r="L232" s="118">
        <f t="shared" ref="L232:L242" si="62">K232*J232</f>
        <v>0</v>
      </c>
      <c r="M232" s="129"/>
      <c r="N232" s="129"/>
      <c r="O232" s="129"/>
      <c r="P232" s="129"/>
      <c r="Q232" s="129"/>
      <c r="R232" s="129"/>
      <c r="S232" s="129"/>
      <c r="T232" s="129"/>
      <c r="U232" s="129"/>
      <c r="V232" s="129"/>
      <c r="W232" s="129"/>
      <c r="X232" s="129"/>
      <c r="Y232" s="129"/>
      <c r="Z232" s="129"/>
      <c r="AA232" s="129"/>
      <c r="AB232" s="129"/>
      <c r="AC232" s="129"/>
      <c r="AD232" s="129"/>
      <c r="AE232" s="129"/>
      <c r="AF232" s="129"/>
      <c r="AG232" s="129"/>
      <c r="AH232" s="129"/>
      <c r="AI232" s="129"/>
      <c r="AJ232" s="129"/>
    </row>
    <row r="233" spans="1:36" s="34" customFormat="1" ht="24.95" customHeight="1" x14ac:dyDescent="0.2">
      <c r="A233" s="32" t="s">
        <v>140</v>
      </c>
      <c r="B233" s="393" t="s">
        <v>89</v>
      </c>
      <c r="C233" s="394"/>
      <c r="D233" s="32" t="s">
        <v>14</v>
      </c>
      <c r="E233" s="256">
        <v>100</v>
      </c>
      <c r="F233" s="256">
        <v>0</v>
      </c>
      <c r="G233" s="256">
        <v>110</v>
      </c>
      <c r="H233" s="256">
        <f>858*1.2</f>
        <v>1029.5999999999999</v>
      </c>
      <c r="I233" s="256">
        <v>0</v>
      </c>
      <c r="J233" s="332">
        <f t="shared" si="61"/>
        <v>1239.5999999999999</v>
      </c>
      <c r="K233" s="20">
        <v>0</v>
      </c>
      <c r="L233" s="118">
        <f t="shared" si="62"/>
        <v>0</v>
      </c>
      <c r="M233" s="129"/>
      <c r="N233" s="129"/>
      <c r="O233" s="129"/>
      <c r="P233" s="129"/>
      <c r="Q233" s="129"/>
      <c r="R233" s="129"/>
      <c r="S233" s="129"/>
      <c r="T233" s="129"/>
      <c r="U233" s="129"/>
      <c r="V233" s="129"/>
      <c r="W233" s="129"/>
      <c r="X233" s="129"/>
      <c r="Y233" s="129"/>
      <c r="Z233" s="129"/>
      <c r="AA233" s="129"/>
      <c r="AB233" s="129"/>
      <c r="AC233" s="129"/>
      <c r="AD233" s="129"/>
      <c r="AE233" s="129"/>
      <c r="AF233" s="129"/>
      <c r="AG233" s="129"/>
      <c r="AH233" s="129"/>
      <c r="AI233" s="129"/>
      <c r="AJ233" s="129"/>
    </row>
    <row r="234" spans="1:36" s="34" customFormat="1" ht="24.95" customHeight="1" x14ac:dyDescent="0.2">
      <c r="A234" s="32" t="s">
        <v>28</v>
      </c>
      <c r="B234" s="395" t="s">
        <v>159</v>
      </c>
      <c r="C234" s="393"/>
      <c r="D234" s="32" t="s">
        <v>50</v>
      </c>
      <c r="E234" s="307">
        <f t="shared" ref="E234:H234" si="63">SUM(E232*0.0008+E233*0.0008)</f>
        <v>0.15279999999999999</v>
      </c>
      <c r="F234" s="307">
        <f t="shared" si="63"/>
        <v>0</v>
      </c>
      <c r="G234" s="307">
        <f t="shared" si="63"/>
        <v>8.8000000000000009E-2</v>
      </c>
      <c r="H234" s="307">
        <f t="shared" si="63"/>
        <v>0.84687999999999997</v>
      </c>
      <c r="I234" s="256">
        <v>0</v>
      </c>
      <c r="J234" s="332">
        <f t="shared" si="61"/>
        <v>1.08768</v>
      </c>
      <c r="K234" s="20">
        <v>0</v>
      </c>
      <c r="L234" s="118">
        <f t="shared" si="62"/>
        <v>0</v>
      </c>
      <c r="M234" s="129"/>
      <c r="N234" s="129"/>
      <c r="O234" s="129"/>
      <c r="P234" s="129"/>
      <c r="Q234" s="129"/>
      <c r="R234" s="129"/>
      <c r="S234" s="129"/>
      <c r="T234" s="129"/>
      <c r="U234" s="129"/>
      <c r="V234" s="129"/>
      <c r="W234" s="129"/>
      <c r="X234" s="129"/>
      <c r="Y234" s="129"/>
      <c r="Z234" s="129"/>
      <c r="AA234" s="129"/>
      <c r="AB234" s="129"/>
      <c r="AC234" s="129"/>
      <c r="AD234" s="129"/>
      <c r="AE234" s="129"/>
      <c r="AF234" s="129"/>
      <c r="AG234" s="129"/>
      <c r="AH234" s="129"/>
      <c r="AI234" s="129"/>
      <c r="AJ234" s="129"/>
    </row>
    <row r="235" spans="1:36" s="34" customFormat="1" ht="24.95" customHeight="1" x14ac:dyDescent="0.2">
      <c r="A235" s="32" t="s">
        <v>69</v>
      </c>
      <c r="B235" s="393" t="s">
        <v>99</v>
      </c>
      <c r="C235" s="393"/>
      <c r="D235" s="32" t="s">
        <v>14</v>
      </c>
      <c r="E235" s="261">
        <f t="shared" ref="E235:G235" si="64">SUM(E232)</f>
        <v>91</v>
      </c>
      <c r="F235" s="261">
        <f t="shared" si="64"/>
        <v>0</v>
      </c>
      <c r="G235" s="261">
        <f t="shared" si="64"/>
        <v>0</v>
      </c>
      <c r="H235" s="261">
        <f t="shared" ref="H235" si="65">SUM(H232)</f>
        <v>29</v>
      </c>
      <c r="I235" s="256">
        <v>0</v>
      </c>
      <c r="J235" s="332">
        <f t="shared" si="61"/>
        <v>120</v>
      </c>
      <c r="K235" s="20">
        <v>0</v>
      </c>
      <c r="L235" s="118">
        <f t="shared" si="62"/>
        <v>0</v>
      </c>
      <c r="M235" s="129"/>
      <c r="N235" s="129"/>
      <c r="O235" s="129"/>
      <c r="P235" s="129"/>
      <c r="Q235" s="129"/>
      <c r="R235" s="129"/>
      <c r="S235" s="129"/>
      <c r="T235" s="129"/>
      <c r="U235" s="129"/>
      <c r="V235" s="129"/>
      <c r="W235" s="129"/>
      <c r="X235" s="129"/>
      <c r="Y235" s="129"/>
      <c r="Z235" s="129"/>
      <c r="AA235" s="129"/>
      <c r="AB235" s="129"/>
      <c r="AC235" s="129"/>
      <c r="AD235" s="129"/>
      <c r="AE235" s="129"/>
      <c r="AF235" s="129"/>
      <c r="AG235" s="129"/>
      <c r="AH235" s="129"/>
      <c r="AI235" s="129"/>
      <c r="AJ235" s="129"/>
    </row>
    <row r="236" spans="1:36" s="34" customFormat="1" ht="24.95" customHeight="1" x14ac:dyDescent="0.2">
      <c r="A236" s="32" t="s">
        <v>97</v>
      </c>
      <c r="B236" s="393" t="s">
        <v>98</v>
      </c>
      <c r="C236" s="393"/>
      <c r="D236" s="32" t="s">
        <v>14</v>
      </c>
      <c r="E236" s="261">
        <f t="shared" ref="E236:F236" si="66">SUM(E233)</f>
        <v>100</v>
      </c>
      <c r="F236" s="261">
        <f t="shared" si="66"/>
        <v>0</v>
      </c>
      <c r="G236" s="261">
        <v>110</v>
      </c>
      <c r="H236" s="261">
        <v>1029.5999999999999</v>
      </c>
      <c r="I236" s="256">
        <v>0</v>
      </c>
      <c r="J236" s="332">
        <f t="shared" si="61"/>
        <v>1239.5999999999999</v>
      </c>
      <c r="K236" s="20">
        <v>0</v>
      </c>
      <c r="L236" s="118">
        <f t="shared" si="62"/>
        <v>0</v>
      </c>
      <c r="M236" s="129"/>
      <c r="N236" s="129"/>
      <c r="O236" s="129"/>
      <c r="P236" s="129"/>
      <c r="Q236" s="129"/>
      <c r="R236" s="129"/>
      <c r="S236" s="129"/>
      <c r="T236" s="129"/>
      <c r="U236" s="129"/>
      <c r="V236" s="129"/>
      <c r="W236" s="129"/>
      <c r="X236" s="129"/>
      <c r="Y236" s="129"/>
      <c r="Z236" s="129"/>
      <c r="AA236" s="129"/>
      <c r="AB236" s="129"/>
      <c r="AC236" s="129"/>
      <c r="AD236" s="129"/>
      <c r="AE236" s="129"/>
      <c r="AF236" s="129"/>
      <c r="AG236" s="129"/>
      <c r="AH236" s="129"/>
      <c r="AI236" s="129"/>
      <c r="AJ236" s="129"/>
    </row>
    <row r="237" spans="1:36" s="34" customFormat="1" ht="33.75" customHeight="1" x14ac:dyDescent="0.2">
      <c r="A237" s="52" t="s">
        <v>27</v>
      </c>
      <c r="B237" s="395" t="s">
        <v>324</v>
      </c>
      <c r="C237" s="395"/>
      <c r="D237" s="32" t="s">
        <v>14</v>
      </c>
      <c r="E237" s="261">
        <f>E235+E236</f>
        <v>191</v>
      </c>
      <c r="F237" s="261">
        <f t="shared" ref="F237:G237" si="67">F235+F236</f>
        <v>0</v>
      </c>
      <c r="G237" s="261">
        <f t="shared" si="67"/>
        <v>110</v>
      </c>
      <c r="H237" s="261">
        <f t="shared" ref="H237" si="68">H235+H236</f>
        <v>1058.5999999999999</v>
      </c>
      <c r="I237" s="256">
        <v>0</v>
      </c>
      <c r="J237" s="332">
        <f t="shared" si="61"/>
        <v>1359.6</v>
      </c>
      <c r="K237" s="20">
        <v>0</v>
      </c>
      <c r="L237" s="118">
        <f t="shared" si="62"/>
        <v>0</v>
      </c>
      <c r="M237" s="129"/>
      <c r="N237" s="129"/>
      <c r="O237" s="129"/>
      <c r="P237" s="129"/>
      <c r="Q237" s="129"/>
      <c r="R237" s="129"/>
      <c r="S237" s="129"/>
      <c r="T237" s="129"/>
      <c r="U237" s="129"/>
      <c r="V237" s="129"/>
      <c r="W237" s="129"/>
      <c r="X237" s="129"/>
      <c r="Y237" s="129"/>
      <c r="Z237" s="129"/>
      <c r="AA237" s="129"/>
      <c r="AB237" s="129"/>
      <c r="AC237" s="129"/>
      <c r="AD237" s="129"/>
      <c r="AE237" s="129"/>
      <c r="AF237" s="129"/>
      <c r="AG237" s="129"/>
      <c r="AH237" s="129"/>
      <c r="AI237" s="129"/>
      <c r="AJ237" s="129"/>
    </row>
    <row r="238" spans="1:36" s="97" customFormat="1" ht="24.95" customHeight="1" x14ac:dyDescent="0.2">
      <c r="A238" s="52" t="s">
        <v>28</v>
      </c>
      <c r="B238" s="418" t="s">
        <v>335</v>
      </c>
      <c r="C238" s="418"/>
      <c r="D238" s="51" t="s">
        <v>15</v>
      </c>
      <c r="E238" s="309">
        <f>335*0.15*1.3</f>
        <v>65.325000000000003</v>
      </c>
      <c r="F238" s="308">
        <v>0</v>
      </c>
      <c r="G238" s="308">
        <v>0</v>
      </c>
      <c r="H238" s="308">
        <v>0</v>
      </c>
      <c r="I238" s="256">
        <v>0</v>
      </c>
      <c r="J238" s="333">
        <f t="shared" si="61"/>
        <v>65.325000000000003</v>
      </c>
      <c r="K238" s="82">
        <v>0</v>
      </c>
      <c r="L238" s="119">
        <f t="shared" ref="L238" si="69">K238*J238</f>
        <v>0</v>
      </c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  <c r="W238" s="135"/>
      <c r="X238" s="135"/>
      <c r="Y238" s="135"/>
      <c r="Z238" s="135"/>
      <c r="AA238" s="135"/>
      <c r="AB238" s="135"/>
      <c r="AC238" s="135"/>
      <c r="AD238" s="135"/>
      <c r="AE238" s="135"/>
      <c r="AF238" s="135"/>
      <c r="AG238" s="135"/>
      <c r="AH238" s="135"/>
      <c r="AI238" s="135"/>
      <c r="AJ238" s="135"/>
    </row>
    <row r="239" spans="1:36" s="80" customFormat="1" ht="24.95" customHeight="1" x14ac:dyDescent="0.2">
      <c r="A239" s="52" t="s">
        <v>27</v>
      </c>
      <c r="B239" s="458" t="s">
        <v>93</v>
      </c>
      <c r="C239" s="458"/>
      <c r="D239" s="98" t="s">
        <v>15</v>
      </c>
      <c r="E239" s="309">
        <f>E238</f>
        <v>65.325000000000003</v>
      </c>
      <c r="F239" s="308">
        <v>0</v>
      </c>
      <c r="G239" s="308">
        <v>0</v>
      </c>
      <c r="H239" s="308">
        <v>0</v>
      </c>
      <c r="I239" s="256">
        <v>0</v>
      </c>
      <c r="J239" s="333">
        <f t="shared" si="61"/>
        <v>65.325000000000003</v>
      </c>
      <c r="K239" s="99">
        <v>0</v>
      </c>
      <c r="L239" s="119">
        <f t="shared" ref="L239:L241" si="70">K239*J239</f>
        <v>0</v>
      </c>
      <c r="M239" s="136"/>
      <c r="N239" s="136"/>
      <c r="O239" s="136"/>
      <c r="P239" s="136"/>
      <c r="Q239" s="136"/>
      <c r="R239" s="136"/>
      <c r="S239" s="136"/>
      <c r="T239" s="136"/>
      <c r="U239" s="136"/>
      <c r="V239" s="136"/>
      <c r="W239" s="136"/>
      <c r="X239" s="136"/>
      <c r="Y239" s="136"/>
      <c r="Z239" s="136"/>
      <c r="AA239" s="136"/>
      <c r="AB239" s="136"/>
      <c r="AC239" s="136"/>
      <c r="AD239" s="136"/>
      <c r="AE239" s="136"/>
      <c r="AF239" s="136"/>
      <c r="AG239" s="136"/>
      <c r="AH239" s="136"/>
      <c r="AI239" s="136"/>
      <c r="AJ239" s="136"/>
    </row>
    <row r="240" spans="1:36" s="80" customFormat="1" ht="24.95" customHeight="1" x14ac:dyDescent="0.2">
      <c r="A240" s="53" t="s">
        <v>336</v>
      </c>
      <c r="B240" s="419" t="s">
        <v>337</v>
      </c>
      <c r="C240" s="420"/>
      <c r="D240" s="51" t="s">
        <v>14</v>
      </c>
      <c r="E240" s="308">
        <v>335</v>
      </c>
      <c r="F240" s="308">
        <v>0</v>
      </c>
      <c r="G240" s="308">
        <v>0</v>
      </c>
      <c r="H240" s="308">
        <v>0</v>
      </c>
      <c r="I240" s="256">
        <v>0</v>
      </c>
      <c r="J240" s="333">
        <f t="shared" si="61"/>
        <v>335</v>
      </c>
      <c r="K240" s="82">
        <v>0</v>
      </c>
      <c r="L240" s="119">
        <f t="shared" ref="L240" si="71">K240*J240</f>
        <v>0</v>
      </c>
      <c r="M240" s="136"/>
      <c r="N240" s="136"/>
      <c r="O240" s="136"/>
      <c r="P240" s="136"/>
      <c r="Q240" s="136"/>
      <c r="R240" s="136"/>
      <c r="S240" s="136"/>
      <c r="T240" s="136"/>
      <c r="U240" s="136"/>
      <c r="V240" s="136"/>
      <c r="W240" s="136"/>
      <c r="X240" s="136"/>
      <c r="Y240" s="136"/>
      <c r="Z240" s="136"/>
      <c r="AA240" s="136"/>
      <c r="AB240" s="136"/>
      <c r="AC240" s="136"/>
      <c r="AD240" s="136"/>
      <c r="AE240" s="136"/>
      <c r="AF240" s="136"/>
      <c r="AG240" s="136"/>
      <c r="AH240" s="136"/>
      <c r="AI240" s="136"/>
      <c r="AJ240" s="136"/>
    </row>
    <row r="241" spans="1:36" s="80" customFormat="1" ht="24.95" customHeight="1" x14ac:dyDescent="0.2">
      <c r="A241" s="52" t="s">
        <v>33</v>
      </c>
      <c r="B241" s="425" t="s">
        <v>70</v>
      </c>
      <c r="C241" s="425"/>
      <c r="D241" s="52" t="s">
        <v>14</v>
      </c>
      <c r="E241" s="308">
        <v>335</v>
      </c>
      <c r="F241" s="308">
        <v>0</v>
      </c>
      <c r="G241" s="308">
        <v>0</v>
      </c>
      <c r="H241" s="308">
        <v>0</v>
      </c>
      <c r="I241" s="256">
        <v>0</v>
      </c>
      <c r="J241" s="333">
        <f t="shared" si="61"/>
        <v>335</v>
      </c>
      <c r="K241" s="79">
        <v>0</v>
      </c>
      <c r="L241" s="119">
        <f t="shared" si="70"/>
        <v>0</v>
      </c>
      <c r="M241" s="136"/>
      <c r="N241" s="136"/>
      <c r="O241" s="136"/>
      <c r="P241" s="136"/>
      <c r="Q241" s="136"/>
      <c r="R241" s="136"/>
      <c r="S241" s="136"/>
      <c r="T241" s="136"/>
      <c r="U241" s="136"/>
      <c r="V241" s="136"/>
      <c r="W241" s="136"/>
      <c r="X241" s="136"/>
      <c r="Y241" s="136"/>
      <c r="Z241" s="136"/>
      <c r="AA241" s="136"/>
      <c r="AB241" s="136"/>
      <c r="AC241" s="136"/>
      <c r="AD241" s="136"/>
      <c r="AE241" s="136"/>
      <c r="AF241" s="136"/>
      <c r="AG241" s="136"/>
      <c r="AH241" s="136"/>
      <c r="AI241" s="136"/>
      <c r="AJ241" s="136"/>
    </row>
    <row r="242" spans="1:36" s="80" customFormat="1" ht="24.95" customHeight="1" x14ac:dyDescent="0.2">
      <c r="A242" s="78" t="s">
        <v>27</v>
      </c>
      <c r="B242" s="424" t="s">
        <v>418</v>
      </c>
      <c r="C242" s="425"/>
      <c r="D242" s="78" t="s">
        <v>23</v>
      </c>
      <c r="E242" s="310">
        <f>E231*0.001</f>
        <v>0.191</v>
      </c>
      <c r="F242" s="310">
        <f>F231*0.001</f>
        <v>0</v>
      </c>
      <c r="G242" s="310">
        <f>G231*0.001</f>
        <v>0.11</v>
      </c>
      <c r="H242" s="310">
        <f>H231*0.001</f>
        <v>1.0586</v>
      </c>
      <c r="I242" s="256">
        <v>0</v>
      </c>
      <c r="J242" s="332">
        <f t="shared" si="61"/>
        <v>1.3595999999999999</v>
      </c>
      <c r="K242" s="79">
        <v>0</v>
      </c>
      <c r="L242" s="119">
        <f t="shared" si="62"/>
        <v>0</v>
      </c>
      <c r="M242" s="136"/>
      <c r="N242" s="136"/>
      <c r="O242" s="136"/>
      <c r="P242" s="136"/>
      <c r="Q242" s="136"/>
      <c r="R242" s="136"/>
      <c r="S242" s="136"/>
      <c r="T242" s="136"/>
      <c r="U242" s="136"/>
      <c r="V242" s="136"/>
      <c r="W242" s="136"/>
      <c r="X242" s="136"/>
      <c r="Y242" s="136"/>
      <c r="Z242" s="136"/>
      <c r="AA242" s="136"/>
      <c r="AB242" s="136"/>
      <c r="AC242" s="136"/>
      <c r="AD242" s="136"/>
      <c r="AE242" s="136"/>
      <c r="AF242" s="136"/>
      <c r="AG242" s="136"/>
      <c r="AH242" s="136"/>
      <c r="AI242" s="136"/>
      <c r="AJ242" s="136"/>
    </row>
    <row r="243" spans="1:36" ht="24.95" customHeight="1" x14ac:dyDescent="0.2">
      <c r="A243" s="11"/>
      <c r="B243" s="459" t="s">
        <v>17</v>
      </c>
      <c r="C243" s="459"/>
      <c r="D243" s="61"/>
      <c r="E243" s="232"/>
      <c r="F243" s="232"/>
      <c r="G243" s="232"/>
      <c r="H243" s="232"/>
      <c r="I243" s="232"/>
      <c r="J243" s="233"/>
      <c r="K243" s="120"/>
      <c r="L243" s="106">
        <f>SUM(L231:L242)</f>
        <v>0</v>
      </c>
    </row>
    <row r="244" spans="1:36" ht="24.95" customHeight="1" x14ac:dyDescent="0.2">
      <c r="A244" s="11"/>
      <c r="B244" s="435" t="s">
        <v>367</v>
      </c>
      <c r="C244" s="435"/>
      <c r="D244" s="435"/>
      <c r="E244" s="435"/>
      <c r="F244" s="435"/>
      <c r="G244" s="435"/>
      <c r="H244" s="435"/>
      <c r="I244" s="435"/>
      <c r="J244" s="435"/>
      <c r="K244" s="435"/>
      <c r="L244" s="435"/>
    </row>
    <row r="245" spans="1:36" s="34" customFormat="1" ht="24.75" customHeight="1" x14ac:dyDescent="0.2">
      <c r="A245" s="33" t="s">
        <v>27</v>
      </c>
      <c r="B245" s="408" t="s">
        <v>370</v>
      </c>
      <c r="C245" s="392"/>
      <c r="D245" s="121" t="s">
        <v>369</v>
      </c>
      <c r="E245" s="311">
        <v>0</v>
      </c>
      <c r="F245" s="311">
        <v>0</v>
      </c>
      <c r="G245" s="256">
        <v>22</v>
      </c>
      <c r="H245" s="256">
        <v>3</v>
      </c>
      <c r="I245" s="311">
        <v>0</v>
      </c>
      <c r="J245" s="332">
        <f>SUM(E245:I245)</f>
        <v>25</v>
      </c>
      <c r="K245" s="60">
        <v>0</v>
      </c>
      <c r="L245" s="118">
        <f>K245*J245</f>
        <v>0</v>
      </c>
      <c r="M245" s="134"/>
      <c r="N245" s="129"/>
      <c r="O245" s="129"/>
      <c r="P245" s="129"/>
      <c r="Q245" s="129"/>
      <c r="R245" s="129"/>
      <c r="S245" s="129"/>
      <c r="T245" s="129"/>
      <c r="U245" s="129"/>
      <c r="V245" s="129"/>
      <c r="W245" s="129"/>
      <c r="X245" s="129"/>
      <c r="Y245" s="129"/>
      <c r="Z245" s="129"/>
      <c r="AA245" s="129"/>
      <c r="AB245" s="129"/>
      <c r="AC245" s="129"/>
      <c r="AD245" s="129"/>
      <c r="AE245" s="129"/>
      <c r="AF245" s="129"/>
      <c r="AG245" s="129"/>
      <c r="AH245" s="129"/>
      <c r="AI245" s="129"/>
      <c r="AJ245" s="129"/>
    </row>
    <row r="246" spans="1:36" s="34" customFormat="1" ht="24.75" customHeight="1" x14ac:dyDescent="0.2">
      <c r="A246" s="33" t="s">
        <v>27</v>
      </c>
      <c r="B246" s="408" t="s">
        <v>371</v>
      </c>
      <c r="C246" s="392"/>
      <c r="D246" s="29" t="s">
        <v>15</v>
      </c>
      <c r="E246" s="311">
        <v>0</v>
      </c>
      <c r="F246" s="311">
        <v>0</v>
      </c>
      <c r="G246" s="315">
        <f>25 *1.2</f>
        <v>30</v>
      </c>
      <c r="H246" s="315">
        <v>0</v>
      </c>
      <c r="I246" s="311">
        <v>0</v>
      </c>
      <c r="J246" s="332">
        <f>SUM(E246:I246)</f>
        <v>30</v>
      </c>
      <c r="K246" s="20">
        <v>0</v>
      </c>
      <c r="L246" s="118">
        <f t="shared" ref="L246:L248" si="72">K246*J246</f>
        <v>0</v>
      </c>
      <c r="M246" s="134"/>
      <c r="N246" s="129"/>
      <c r="O246" s="129"/>
      <c r="P246" s="129"/>
      <c r="Q246" s="129"/>
      <c r="R246" s="129"/>
      <c r="S246" s="129"/>
      <c r="T246" s="129"/>
      <c r="U246" s="129"/>
      <c r="V246" s="129"/>
      <c r="W246" s="129"/>
      <c r="X246" s="129"/>
      <c r="Y246" s="129"/>
      <c r="Z246" s="129"/>
      <c r="AA246" s="129"/>
      <c r="AB246" s="129"/>
      <c r="AC246" s="129"/>
      <c r="AD246" s="129"/>
      <c r="AE246" s="129"/>
      <c r="AF246" s="129"/>
      <c r="AG246" s="129"/>
      <c r="AH246" s="129"/>
      <c r="AI246" s="129"/>
      <c r="AJ246" s="129"/>
    </row>
    <row r="247" spans="1:36" s="34" customFormat="1" ht="24.75" customHeight="1" x14ac:dyDescent="0.2">
      <c r="A247" s="33" t="s">
        <v>27</v>
      </c>
      <c r="B247" s="408" t="s">
        <v>372</v>
      </c>
      <c r="C247" s="392"/>
      <c r="D247" s="29" t="s">
        <v>23</v>
      </c>
      <c r="E247" s="311">
        <v>0</v>
      </c>
      <c r="F247" s="311">
        <v>0</v>
      </c>
      <c r="G247" s="315">
        <f>G246*1.8</f>
        <v>54</v>
      </c>
      <c r="H247" s="315">
        <v>0</v>
      </c>
      <c r="I247" s="311">
        <v>0</v>
      </c>
      <c r="J247" s="332">
        <f>SUM(E247:I247)</f>
        <v>54</v>
      </c>
      <c r="K247" s="20">
        <v>0</v>
      </c>
      <c r="L247" s="118">
        <f t="shared" si="72"/>
        <v>0</v>
      </c>
      <c r="M247" s="134"/>
      <c r="N247" s="129"/>
      <c r="O247" s="129"/>
      <c r="P247" s="129"/>
      <c r="Q247" s="129"/>
      <c r="R247" s="129"/>
      <c r="S247" s="129"/>
      <c r="T247" s="129"/>
      <c r="U247" s="129"/>
      <c r="V247" s="129"/>
      <c r="W247" s="129"/>
      <c r="X247" s="129"/>
      <c r="Y247" s="129"/>
      <c r="Z247" s="129"/>
      <c r="AA247" s="129"/>
      <c r="AB247" s="129"/>
      <c r="AC247" s="129"/>
      <c r="AD247" s="129"/>
      <c r="AE247" s="129"/>
      <c r="AF247" s="129"/>
      <c r="AG247" s="129"/>
      <c r="AH247" s="129"/>
      <c r="AI247" s="129"/>
      <c r="AJ247" s="129"/>
    </row>
    <row r="248" spans="1:36" s="34" customFormat="1" ht="24.75" customHeight="1" x14ac:dyDescent="0.2">
      <c r="A248" s="33" t="s">
        <v>27</v>
      </c>
      <c r="B248" s="408" t="s">
        <v>419</v>
      </c>
      <c r="C248" s="392"/>
      <c r="D248" s="29" t="s">
        <v>23</v>
      </c>
      <c r="E248" s="311">
        <v>0</v>
      </c>
      <c r="F248" s="311">
        <v>0</v>
      </c>
      <c r="G248" s="315">
        <f>G247</f>
        <v>54</v>
      </c>
      <c r="H248" s="315">
        <v>0</v>
      </c>
      <c r="I248" s="311">
        <v>0</v>
      </c>
      <c r="J248" s="332">
        <f>SUM(E248:I248)</f>
        <v>54</v>
      </c>
      <c r="K248" s="20">
        <v>0</v>
      </c>
      <c r="L248" s="118">
        <f t="shared" si="72"/>
        <v>0</v>
      </c>
      <c r="M248" s="134"/>
      <c r="N248" s="129"/>
      <c r="O248" s="129"/>
      <c r="P248" s="129"/>
      <c r="Q248" s="129"/>
      <c r="R248" s="129"/>
      <c r="S248" s="129"/>
      <c r="T248" s="129"/>
      <c r="U248" s="129"/>
      <c r="V248" s="129"/>
      <c r="W248" s="129"/>
      <c r="X248" s="129"/>
      <c r="Y248" s="129"/>
      <c r="Z248" s="129"/>
      <c r="AA248" s="129"/>
      <c r="AB248" s="129"/>
      <c r="AC248" s="129"/>
      <c r="AD248" s="129"/>
      <c r="AE248" s="129"/>
      <c r="AF248" s="129"/>
      <c r="AG248" s="129"/>
      <c r="AH248" s="129"/>
      <c r="AI248" s="129"/>
      <c r="AJ248" s="129"/>
    </row>
    <row r="249" spans="1:36" ht="24.95" customHeight="1" x14ac:dyDescent="0.2">
      <c r="A249" s="11"/>
      <c r="B249" s="459" t="s">
        <v>368</v>
      </c>
      <c r="C249" s="459"/>
      <c r="D249" s="61"/>
      <c r="E249" s="232"/>
      <c r="F249" s="232"/>
      <c r="G249" s="232"/>
      <c r="H249" s="232"/>
      <c r="I249" s="232"/>
      <c r="J249" s="233"/>
      <c r="K249" s="120"/>
      <c r="L249" s="106">
        <f>SUM(L245:L248)</f>
        <v>0</v>
      </c>
    </row>
    <row r="250" spans="1:36" s="35" customFormat="1" ht="24.95" customHeight="1" x14ac:dyDescent="0.25">
      <c r="A250" s="369"/>
      <c r="B250" s="370" t="s">
        <v>7</v>
      </c>
      <c r="C250" s="370"/>
      <c r="D250" s="370" t="s">
        <v>194</v>
      </c>
      <c r="E250" s="371" t="s">
        <v>114</v>
      </c>
      <c r="F250" s="371"/>
      <c r="G250" s="371"/>
      <c r="H250" s="371"/>
      <c r="I250" s="371"/>
      <c r="J250" s="371"/>
      <c r="K250" s="372" t="s">
        <v>4</v>
      </c>
      <c r="L250" s="391" t="s">
        <v>115</v>
      </c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</row>
    <row r="251" spans="1:36" s="6" customFormat="1" ht="24.95" customHeight="1" x14ac:dyDescent="0.25">
      <c r="A251" s="369"/>
      <c r="B251" s="370"/>
      <c r="C251" s="370"/>
      <c r="D251" s="370"/>
      <c r="E251" s="259" t="s">
        <v>245</v>
      </c>
      <c r="F251" s="259" t="s">
        <v>246</v>
      </c>
      <c r="G251" s="259" t="s">
        <v>341</v>
      </c>
      <c r="H251" s="259" t="s">
        <v>342</v>
      </c>
      <c r="I251" s="259" t="s">
        <v>343</v>
      </c>
      <c r="J251" s="262" t="s">
        <v>8</v>
      </c>
      <c r="K251" s="372"/>
      <c r="L251" s="391"/>
      <c r="M251" s="131"/>
      <c r="N251" s="131"/>
      <c r="O251" s="131"/>
      <c r="P251" s="131"/>
      <c r="Q251" s="131"/>
      <c r="R251" s="131"/>
      <c r="S251" s="131"/>
      <c r="T251" s="131"/>
      <c r="U251" s="131"/>
      <c r="V251" s="131"/>
      <c r="W251" s="131"/>
      <c r="X251" s="131"/>
      <c r="Y251" s="131"/>
      <c r="Z251" s="131"/>
      <c r="AA251" s="131"/>
      <c r="AB251" s="131"/>
      <c r="AC251" s="131"/>
      <c r="AD251" s="131"/>
      <c r="AE251" s="131"/>
      <c r="AF251" s="131"/>
      <c r="AG251" s="131"/>
      <c r="AH251" s="131"/>
      <c r="AI251" s="131"/>
      <c r="AJ251" s="131"/>
    </row>
    <row r="252" spans="1:36" ht="24.95" customHeight="1" x14ac:dyDescent="0.2">
      <c r="A252" s="10"/>
      <c r="B252" s="435" t="s">
        <v>63</v>
      </c>
      <c r="C252" s="435"/>
      <c r="D252" s="435"/>
      <c r="E252" s="435"/>
      <c r="F252" s="435"/>
      <c r="G252" s="435"/>
      <c r="H252" s="435"/>
      <c r="I252" s="435"/>
      <c r="J252" s="435"/>
      <c r="K252" s="435"/>
      <c r="L252" s="435"/>
    </row>
    <row r="253" spans="1:36" ht="24.95" customHeight="1" x14ac:dyDescent="0.2">
      <c r="A253" s="39" t="s">
        <v>27</v>
      </c>
      <c r="B253" s="423" t="s">
        <v>173</v>
      </c>
      <c r="C253" s="423"/>
      <c r="D253" s="122" t="s">
        <v>9</v>
      </c>
      <c r="E253" s="311">
        <f>E97+E110+E116+E124</f>
        <v>611</v>
      </c>
      <c r="F253" s="311">
        <f>F97+F110+F116+F124</f>
        <v>0</v>
      </c>
      <c r="G253" s="311">
        <f>G97+G110+G116+G124</f>
        <v>268</v>
      </c>
      <c r="H253" s="311">
        <f>H97+H110+H116+H124</f>
        <v>2522</v>
      </c>
      <c r="I253" s="311">
        <f>I97+I110+I116+I124</f>
        <v>0</v>
      </c>
      <c r="J253" s="332">
        <f t="shared" ref="J253:J280" si="73">SUM(E253:I253)</f>
        <v>3401</v>
      </c>
      <c r="K253" s="20">
        <v>0</v>
      </c>
      <c r="L253" s="67">
        <f>K253*J253</f>
        <v>0</v>
      </c>
    </row>
    <row r="254" spans="1:36" ht="24.95" customHeight="1" x14ac:dyDescent="0.2">
      <c r="A254" s="10" t="s">
        <v>139</v>
      </c>
      <c r="B254" s="403" t="s">
        <v>79</v>
      </c>
      <c r="C254" s="403"/>
      <c r="D254" s="11" t="s">
        <v>9</v>
      </c>
      <c r="E254" s="270">
        <f>E97</f>
        <v>228</v>
      </c>
      <c r="F254" s="270">
        <f>F97</f>
        <v>0</v>
      </c>
      <c r="G254" s="270">
        <v>0</v>
      </c>
      <c r="H254" s="270">
        <f>H97</f>
        <v>210</v>
      </c>
      <c r="I254" s="270">
        <f>I97</f>
        <v>0</v>
      </c>
      <c r="J254" s="332">
        <f t="shared" si="73"/>
        <v>438</v>
      </c>
      <c r="K254" s="20">
        <v>0</v>
      </c>
      <c r="L254" s="67">
        <f t="shared" ref="L254:L270" si="74">K254*J254</f>
        <v>0</v>
      </c>
    </row>
    <row r="255" spans="1:36" ht="24.95" customHeight="1" x14ac:dyDescent="0.2">
      <c r="A255" s="10" t="s">
        <v>51</v>
      </c>
      <c r="B255" s="403" t="s">
        <v>52</v>
      </c>
      <c r="C255" s="403"/>
      <c r="D255" s="11" t="s">
        <v>9</v>
      </c>
      <c r="E255" s="270">
        <f>E116</f>
        <v>19</v>
      </c>
      <c r="F255" s="270">
        <f>F116</f>
        <v>0</v>
      </c>
      <c r="G255" s="270">
        <v>0</v>
      </c>
      <c r="H255" s="270">
        <f>H116</f>
        <v>3</v>
      </c>
      <c r="I255" s="270">
        <f>I116</f>
        <v>0</v>
      </c>
      <c r="J255" s="332">
        <f t="shared" si="73"/>
        <v>22</v>
      </c>
      <c r="K255" s="20">
        <v>0</v>
      </c>
      <c r="L255" s="67">
        <f t="shared" si="74"/>
        <v>0</v>
      </c>
    </row>
    <row r="256" spans="1:36" s="28" customFormat="1" ht="24.95" customHeight="1" x14ac:dyDescent="0.2">
      <c r="A256" s="17" t="s">
        <v>219</v>
      </c>
      <c r="B256" s="442" t="s">
        <v>82</v>
      </c>
      <c r="C256" s="442"/>
      <c r="D256" s="10" t="s">
        <v>9</v>
      </c>
      <c r="E256" s="270">
        <f>E110</f>
        <v>325</v>
      </c>
      <c r="F256" s="270">
        <f>F110</f>
        <v>0</v>
      </c>
      <c r="G256" s="270">
        <f>G110</f>
        <v>0</v>
      </c>
      <c r="H256" s="270">
        <f>H110</f>
        <v>2264</v>
      </c>
      <c r="I256" s="270">
        <f>I110</f>
        <v>0</v>
      </c>
      <c r="J256" s="332">
        <f t="shared" si="73"/>
        <v>2589</v>
      </c>
      <c r="K256" s="12">
        <v>0</v>
      </c>
      <c r="L256" s="67">
        <f t="shared" si="74"/>
        <v>0</v>
      </c>
      <c r="M256" s="132"/>
      <c r="N256" s="132"/>
      <c r="O256" s="132"/>
      <c r="P256" s="132"/>
      <c r="Q256" s="132"/>
      <c r="R256" s="132"/>
      <c r="S256" s="132"/>
      <c r="T256" s="132"/>
      <c r="U256" s="132"/>
      <c r="V256" s="132"/>
      <c r="W256" s="132"/>
      <c r="X256" s="132"/>
      <c r="Y256" s="132"/>
      <c r="Z256" s="132"/>
      <c r="AA256" s="132"/>
      <c r="AB256" s="132"/>
      <c r="AC256" s="132"/>
      <c r="AD256" s="132"/>
      <c r="AE256" s="132"/>
      <c r="AF256" s="132"/>
      <c r="AG256" s="132"/>
      <c r="AH256" s="132"/>
      <c r="AI256" s="132"/>
      <c r="AJ256" s="132"/>
    </row>
    <row r="257" spans="1:12" ht="24.95" customHeight="1" x14ac:dyDescent="0.2">
      <c r="A257" s="10" t="s">
        <v>108</v>
      </c>
      <c r="B257" s="442" t="s">
        <v>106</v>
      </c>
      <c r="C257" s="442"/>
      <c r="D257" s="10" t="s">
        <v>9</v>
      </c>
      <c r="E257" s="270">
        <f>E124</f>
        <v>39</v>
      </c>
      <c r="F257" s="270">
        <f>F124</f>
        <v>0</v>
      </c>
      <c r="G257" s="270">
        <f>G124</f>
        <v>0</v>
      </c>
      <c r="H257" s="270">
        <f>H124</f>
        <v>45</v>
      </c>
      <c r="I257" s="270">
        <f>I124</f>
        <v>0</v>
      </c>
      <c r="J257" s="332">
        <f t="shared" si="73"/>
        <v>84</v>
      </c>
      <c r="K257" s="12">
        <v>0</v>
      </c>
      <c r="L257" s="67">
        <f t="shared" si="74"/>
        <v>0</v>
      </c>
    </row>
    <row r="258" spans="1:12" ht="24.95" customHeight="1" x14ac:dyDescent="0.2">
      <c r="A258" s="10" t="s">
        <v>80</v>
      </c>
      <c r="B258" s="442" t="s">
        <v>81</v>
      </c>
      <c r="C258" s="442"/>
      <c r="D258" s="10" t="s">
        <v>9</v>
      </c>
      <c r="E258" s="257">
        <f t="shared" ref="E258:F258" si="75">SUM(E254)</f>
        <v>228</v>
      </c>
      <c r="F258" s="257">
        <f t="shared" si="75"/>
        <v>0</v>
      </c>
      <c r="G258" s="257">
        <f t="shared" ref="G258:I258" si="76">SUM(G254)</f>
        <v>0</v>
      </c>
      <c r="H258" s="257">
        <f t="shared" si="76"/>
        <v>210</v>
      </c>
      <c r="I258" s="257">
        <f t="shared" si="76"/>
        <v>0</v>
      </c>
      <c r="J258" s="332">
        <f t="shared" si="73"/>
        <v>438</v>
      </c>
      <c r="K258" s="12">
        <v>0</v>
      </c>
      <c r="L258" s="67">
        <f t="shared" si="74"/>
        <v>0</v>
      </c>
    </row>
    <row r="259" spans="1:12" ht="24.95" customHeight="1" x14ac:dyDescent="0.2">
      <c r="A259" s="10" t="s">
        <v>67</v>
      </c>
      <c r="B259" s="442" t="s">
        <v>66</v>
      </c>
      <c r="C259" s="442"/>
      <c r="D259" s="10" t="s">
        <v>9</v>
      </c>
      <c r="E259" s="257">
        <f t="shared" ref="E259:F259" si="77">SUM(E255)</f>
        <v>19</v>
      </c>
      <c r="F259" s="257">
        <f t="shared" si="77"/>
        <v>0</v>
      </c>
      <c r="G259" s="257">
        <f t="shared" ref="G259:I259" si="78">SUM(G255)</f>
        <v>0</v>
      </c>
      <c r="H259" s="257">
        <f t="shared" si="78"/>
        <v>3</v>
      </c>
      <c r="I259" s="257">
        <f t="shared" si="78"/>
        <v>0</v>
      </c>
      <c r="J259" s="332">
        <f t="shared" si="73"/>
        <v>22</v>
      </c>
      <c r="K259" s="12">
        <v>0</v>
      </c>
      <c r="L259" s="67">
        <f t="shared" si="74"/>
        <v>0</v>
      </c>
    </row>
    <row r="260" spans="1:12" ht="24.95" customHeight="1" x14ac:dyDescent="0.2">
      <c r="A260" s="10" t="s">
        <v>83</v>
      </c>
      <c r="B260" s="442" t="s">
        <v>84</v>
      </c>
      <c r="C260" s="442"/>
      <c r="D260" s="10" t="s">
        <v>9</v>
      </c>
      <c r="E260" s="257">
        <f t="shared" ref="E260:F260" si="79">SUM(E256)</f>
        <v>325</v>
      </c>
      <c r="F260" s="257">
        <f t="shared" si="79"/>
        <v>0</v>
      </c>
      <c r="G260" s="257">
        <f t="shared" ref="G260:I260" si="80">SUM(G256)</f>
        <v>0</v>
      </c>
      <c r="H260" s="257">
        <f t="shared" si="80"/>
        <v>2264</v>
      </c>
      <c r="I260" s="257">
        <f t="shared" si="80"/>
        <v>0</v>
      </c>
      <c r="J260" s="332">
        <f t="shared" si="73"/>
        <v>2589</v>
      </c>
      <c r="K260" s="12">
        <v>0</v>
      </c>
      <c r="L260" s="67">
        <f t="shared" si="74"/>
        <v>0</v>
      </c>
    </row>
    <row r="261" spans="1:12" ht="24.95" customHeight="1" x14ac:dyDescent="0.2">
      <c r="A261" s="10" t="s">
        <v>109</v>
      </c>
      <c r="B261" s="442" t="s">
        <v>107</v>
      </c>
      <c r="C261" s="442"/>
      <c r="D261" s="10" t="s">
        <v>9</v>
      </c>
      <c r="E261" s="257">
        <f t="shared" ref="E261:F261" si="81">SUM(E257)</f>
        <v>39</v>
      </c>
      <c r="F261" s="257">
        <f t="shared" si="81"/>
        <v>0</v>
      </c>
      <c r="G261" s="257">
        <f t="shared" ref="G261:I261" si="82">SUM(G257)</f>
        <v>0</v>
      </c>
      <c r="H261" s="257">
        <f t="shared" si="82"/>
        <v>45</v>
      </c>
      <c r="I261" s="257">
        <f t="shared" si="82"/>
        <v>0</v>
      </c>
      <c r="J261" s="332">
        <f t="shared" si="73"/>
        <v>84</v>
      </c>
      <c r="K261" s="12">
        <v>0</v>
      </c>
      <c r="L261" s="67">
        <f t="shared" si="74"/>
        <v>0</v>
      </c>
    </row>
    <row r="262" spans="1:12" ht="24.95" customHeight="1" x14ac:dyDescent="0.2">
      <c r="A262" s="33" t="s">
        <v>217</v>
      </c>
      <c r="B262" s="408" t="s">
        <v>218</v>
      </c>
      <c r="C262" s="408"/>
      <c r="D262" s="63" t="s">
        <v>15</v>
      </c>
      <c r="E262" s="312">
        <f>(E279+E280)*0.02</f>
        <v>4.22</v>
      </c>
      <c r="F262" s="312">
        <f t="shared" ref="F262" si="83">(F279+F280)*0.02</f>
        <v>0</v>
      </c>
      <c r="G262" s="312">
        <f t="shared" ref="G262:I262" si="84">(G279+G280)*0.02</f>
        <v>2.2000000000000002</v>
      </c>
      <c r="H262" s="312">
        <f t="shared" si="84"/>
        <v>21.171999999999997</v>
      </c>
      <c r="I262" s="312">
        <f t="shared" si="84"/>
        <v>0</v>
      </c>
      <c r="J262" s="332">
        <f t="shared" si="73"/>
        <v>27.591999999999999</v>
      </c>
      <c r="K262" s="20">
        <v>0</v>
      </c>
      <c r="L262" s="67">
        <f t="shared" si="74"/>
        <v>0</v>
      </c>
    </row>
    <row r="263" spans="1:12" ht="24.95" customHeight="1" x14ac:dyDescent="0.2">
      <c r="A263" s="167" t="s">
        <v>28</v>
      </c>
      <c r="B263" s="417" t="s">
        <v>104</v>
      </c>
      <c r="C263" s="417"/>
      <c r="D263" s="19" t="s">
        <v>15</v>
      </c>
      <c r="E263" s="313">
        <f t="shared" ref="E263:F263" si="85">SUM(E254*0.01+E256*0.01)</f>
        <v>5.53</v>
      </c>
      <c r="F263" s="313">
        <f t="shared" si="85"/>
        <v>0</v>
      </c>
      <c r="G263" s="313">
        <f t="shared" ref="G263:I263" si="86">SUM(G254*0.01+G256*0.01)</f>
        <v>0</v>
      </c>
      <c r="H263" s="313">
        <f t="shared" si="86"/>
        <v>24.740000000000002</v>
      </c>
      <c r="I263" s="313">
        <f t="shared" si="86"/>
        <v>0</v>
      </c>
      <c r="J263" s="332">
        <f t="shared" si="73"/>
        <v>30.270000000000003</v>
      </c>
      <c r="K263" s="23">
        <v>0</v>
      </c>
      <c r="L263" s="168">
        <f t="shared" si="74"/>
        <v>0</v>
      </c>
    </row>
    <row r="264" spans="1:12" ht="24.95" customHeight="1" x14ac:dyDescent="0.2">
      <c r="A264" s="167" t="s">
        <v>28</v>
      </c>
      <c r="B264" s="417" t="s">
        <v>105</v>
      </c>
      <c r="C264" s="417"/>
      <c r="D264" s="19" t="s">
        <v>15</v>
      </c>
      <c r="E264" s="313">
        <f t="shared" ref="E264:F264" si="87">SUM(E255*0.025+E257*0.025)</f>
        <v>1.4500000000000002</v>
      </c>
      <c r="F264" s="313">
        <f t="shared" si="87"/>
        <v>0</v>
      </c>
      <c r="G264" s="313">
        <f t="shared" ref="G264:I264" si="88">SUM(G255*0.025+G257*0.025)</f>
        <v>0</v>
      </c>
      <c r="H264" s="313">
        <f t="shared" si="88"/>
        <v>1.2</v>
      </c>
      <c r="I264" s="313">
        <f t="shared" si="88"/>
        <v>0</v>
      </c>
      <c r="J264" s="332">
        <f t="shared" si="73"/>
        <v>2.6500000000000004</v>
      </c>
      <c r="K264" s="23">
        <v>0</v>
      </c>
      <c r="L264" s="168">
        <f t="shared" si="74"/>
        <v>0</v>
      </c>
    </row>
    <row r="265" spans="1:12" ht="24.95" customHeight="1" x14ac:dyDescent="0.2">
      <c r="A265" s="11" t="s">
        <v>49</v>
      </c>
      <c r="B265" s="442" t="s">
        <v>148</v>
      </c>
      <c r="C265" s="442"/>
      <c r="D265" s="10" t="s">
        <v>23</v>
      </c>
      <c r="E265" s="314">
        <f t="shared" ref="E265:F265" si="89">SUM(E266:E267)*0.00001</f>
        <v>7.2700000000000004E-3</v>
      </c>
      <c r="F265" s="314">
        <f t="shared" si="89"/>
        <v>0</v>
      </c>
      <c r="G265" s="314">
        <f t="shared" ref="G265:I265" si="90">SUM(G266:G267)*0.00001</f>
        <v>0</v>
      </c>
      <c r="H265" s="314">
        <f t="shared" si="90"/>
        <v>2.6180000000000002E-2</v>
      </c>
      <c r="I265" s="314">
        <f t="shared" si="90"/>
        <v>0</v>
      </c>
      <c r="J265" s="334">
        <f t="shared" si="73"/>
        <v>3.3450000000000001E-2</v>
      </c>
      <c r="K265" s="64">
        <v>0</v>
      </c>
      <c r="L265" s="67">
        <f t="shared" si="74"/>
        <v>0</v>
      </c>
    </row>
    <row r="266" spans="1:12" ht="24.95" customHeight="1" x14ac:dyDescent="0.2">
      <c r="A266" s="11" t="s">
        <v>28</v>
      </c>
      <c r="B266" s="433" t="s">
        <v>151</v>
      </c>
      <c r="C266" s="433"/>
      <c r="D266" s="10" t="s">
        <v>9</v>
      </c>
      <c r="E266" s="257">
        <f>SUM(E254*1+E256*1)</f>
        <v>553</v>
      </c>
      <c r="F266" s="257">
        <f>SUM(F254*1+F256*1)</f>
        <v>0</v>
      </c>
      <c r="G266" s="257">
        <f t="shared" ref="G266:I266" si="91">SUM(G254*1+G256*1)</f>
        <v>0</v>
      </c>
      <c r="H266" s="257">
        <f t="shared" si="91"/>
        <v>2474</v>
      </c>
      <c r="I266" s="257">
        <f t="shared" si="91"/>
        <v>0</v>
      </c>
      <c r="J266" s="332">
        <f t="shared" si="73"/>
        <v>3027</v>
      </c>
      <c r="K266" s="12">
        <v>0</v>
      </c>
      <c r="L266" s="67">
        <f t="shared" si="74"/>
        <v>0</v>
      </c>
    </row>
    <row r="267" spans="1:12" ht="24.95" customHeight="1" x14ac:dyDescent="0.2">
      <c r="A267" s="11" t="s">
        <v>28</v>
      </c>
      <c r="B267" s="433" t="s">
        <v>152</v>
      </c>
      <c r="C267" s="433"/>
      <c r="D267" s="10" t="s">
        <v>9</v>
      </c>
      <c r="E267" s="257">
        <f>SUM(E255*3+E257*3)</f>
        <v>174</v>
      </c>
      <c r="F267" s="257">
        <f>SUM(F255*3+F257*3)</f>
        <v>0</v>
      </c>
      <c r="G267" s="257">
        <f t="shared" ref="G267:I267" si="92">SUM(G255*3+G257*3)</f>
        <v>0</v>
      </c>
      <c r="H267" s="257">
        <f t="shared" si="92"/>
        <v>144</v>
      </c>
      <c r="I267" s="257">
        <f t="shared" si="92"/>
        <v>0</v>
      </c>
      <c r="J267" s="332">
        <f t="shared" si="73"/>
        <v>318</v>
      </c>
      <c r="K267" s="12">
        <v>0</v>
      </c>
      <c r="L267" s="67">
        <f t="shared" si="74"/>
        <v>0</v>
      </c>
    </row>
    <row r="268" spans="1:12" ht="24.95" customHeight="1" x14ac:dyDescent="0.2">
      <c r="A268" s="10" t="s">
        <v>49</v>
      </c>
      <c r="B268" s="442" t="s">
        <v>149</v>
      </c>
      <c r="C268" s="442"/>
      <c r="D268" s="10" t="s">
        <v>23</v>
      </c>
      <c r="E268" s="314">
        <f t="shared" ref="E268:F268" si="93">SUM(E269:E270)*0.001</f>
        <v>6.6899999999999998E-3</v>
      </c>
      <c r="F268" s="314">
        <f t="shared" si="93"/>
        <v>0</v>
      </c>
      <c r="G268" s="314">
        <f t="shared" ref="G268:I268" si="94">SUM(G269:G270)*0.001</f>
        <v>0</v>
      </c>
      <c r="H268" s="314">
        <f t="shared" si="94"/>
        <v>2.5700000000000004E-2</v>
      </c>
      <c r="I268" s="314">
        <f t="shared" si="94"/>
        <v>0</v>
      </c>
      <c r="J268" s="334">
        <f t="shared" si="73"/>
        <v>3.2390000000000002E-2</v>
      </c>
      <c r="K268" s="64">
        <v>0</v>
      </c>
      <c r="L268" s="67">
        <f t="shared" si="74"/>
        <v>0</v>
      </c>
    </row>
    <row r="269" spans="1:12" ht="24.95" customHeight="1" x14ac:dyDescent="0.2">
      <c r="A269" s="10" t="s">
        <v>28</v>
      </c>
      <c r="B269" s="433" t="s">
        <v>154</v>
      </c>
      <c r="C269" s="433"/>
      <c r="D269" s="10" t="s">
        <v>18</v>
      </c>
      <c r="E269" s="315">
        <f>SUM(E254*10/1000+E256*10/1000)</f>
        <v>5.5299999999999994</v>
      </c>
      <c r="F269" s="315">
        <f>SUM(F254*10/1000+F256*10/1000)</f>
        <v>0</v>
      </c>
      <c r="G269" s="315">
        <f t="shared" ref="G269:I269" si="95">SUM(G254*10/1000+G256*10/1000)</f>
        <v>0</v>
      </c>
      <c r="H269" s="315">
        <f t="shared" si="95"/>
        <v>24.740000000000002</v>
      </c>
      <c r="I269" s="315">
        <f t="shared" si="95"/>
        <v>0</v>
      </c>
      <c r="J269" s="332">
        <f t="shared" si="73"/>
        <v>30.270000000000003</v>
      </c>
      <c r="K269" s="12">
        <v>0</v>
      </c>
      <c r="L269" s="67">
        <f t="shared" si="74"/>
        <v>0</v>
      </c>
    </row>
    <row r="270" spans="1:12" ht="24.95" customHeight="1" thickBot="1" x14ac:dyDescent="0.25">
      <c r="A270" s="142" t="s">
        <v>28</v>
      </c>
      <c r="B270" s="484" t="s">
        <v>155</v>
      </c>
      <c r="C270" s="484"/>
      <c r="D270" s="142" t="s">
        <v>18</v>
      </c>
      <c r="E270" s="316">
        <f>SUM(E255*20/1000+E257*20/1000)</f>
        <v>1.1600000000000001</v>
      </c>
      <c r="F270" s="316">
        <f>SUM(F255*20/1000+F257*20/1000)</f>
        <v>0</v>
      </c>
      <c r="G270" s="316">
        <f t="shared" ref="G270:I270" si="96">SUM(G255*20/1000+G257*20/1000)</f>
        <v>0</v>
      </c>
      <c r="H270" s="316">
        <f t="shared" si="96"/>
        <v>0.96</v>
      </c>
      <c r="I270" s="316">
        <f t="shared" si="96"/>
        <v>0</v>
      </c>
      <c r="J270" s="335">
        <f t="shared" si="73"/>
        <v>2.12</v>
      </c>
      <c r="K270" s="143">
        <v>0</v>
      </c>
      <c r="L270" s="144">
        <f t="shared" si="74"/>
        <v>0</v>
      </c>
    </row>
    <row r="271" spans="1:12" ht="24.95" customHeight="1" x14ac:dyDescent="0.2">
      <c r="A271" s="145" t="s">
        <v>36</v>
      </c>
      <c r="B271" s="454" t="s">
        <v>24</v>
      </c>
      <c r="C271" s="454"/>
      <c r="D271" s="146" t="s">
        <v>14</v>
      </c>
      <c r="E271" s="317">
        <f t="shared" ref="E271:F271" si="97">SUM(E273*1.05)</f>
        <v>95.55</v>
      </c>
      <c r="F271" s="317">
        <f t="shared" si="97"/>
        <v>0</v>
      </c>
      <c r="G271" s="317">
        <f t="shared" ref="G271:H271" si="98">SUM(G273*1.05)</f>
        <v>115.5</v>
      </c>
      <c r="H271" s="317">
        <f t="shared" si="98"/>
        <v>30.450000000000003</v>
      </c>
      <c r="I271" s="317">
        <v>0</v>
      </c>
      <c r="J271" s="336">
        <f t="shared" si="73"/>
        <v>241.5</v>
      </c>
      <c r="K271" s="147">
        <v>0</v>
      </c>
      <c r="L271" s="148">
        <f>K271*J271</f>
        <v>0</v>
      </c>
    </row>
    <row r="272" spans="1:12" ht="30" customHeight="1" x14ac:dyDescent="0.2">
      <c r="A272" s="149" t="s">
        <v>28</v>
      </c>
      <c r="B272" s="374" t="s">
        <v>421</v>
      </c>
      <c r="C272" s="442"/>
      <c r="D272" s="10" t="s">
        <v>14</v>
      </c>
      <c r="E272" s="315">
        <f>SUM(E271)</f>
        <v>95.55</v>
      </c>
      <c r="F272" s="315">
        <f t="shared" ref="F272:G272" si="99">SUM(F271)</f>
        <v>0</v>
      </c>
      <c r="G272" s="315">
        <f t="shared" si="99"/>
        <v>115.5</v>
      </c>
      <c r="H272" s="315">
        <f>H271</f>
        <v>30.450000000000003</v>
      </c>
      <c r="I272" s="315">
        <v>0</v>
      </c>
      <c r="J272" s="332">
        <f t="shared" si="73"/>
        <v>241.5</v>
      </c>
      <c r="K272" s="12">
        <v>0</v>
      </c>
      <c r="L272" s="150">
        <f t="shared" ref="L272" si="100">K272*J272</f>
        <v>0</v>
      </c>
    </row>
    <row r="273" spans="1:36" ht="24.95" customHeight="1" x14ac:dyDescent="0.2">
      <c r="A273" s="151" t="s">
        <v>29</v>
      </c>
      <c r="B273" s="457" t="s">
        <v>25</v>
      </c>
      <c r="C273" s="457"/>
      <c r="D273" s="10" t="s">
        <v>14</v>
      </c>
      <c r="E273" s="318">
        <v>91</v>
      </c>
      <c r="F273" s="257">
        <v>0</v>
      </c>
      <c r="G273" s="328">
        <v>110</v>
      </c>
      <c r="H273" s="328">
        <v>29</v>
      </c>
      <c r="I273" s="328">
        <v>0</v>
      </c>
      <c r="J273" s="332">
        <f t="shared" si="73"/>
        <v>230</v>
      </c>
      <c r="K273" s="12">
        <v>0</v>
      </c>
      <c r="L273" s="150">
        <f t="shared" ref="L273:L278" si="101">K273*J273</f>
        <v>0</v>
      </c>
    </row>
    <row r="274" spans="1:36" ht="24.95" customHeight="1" thickBot="1" x14ac:dyDescent="0.25">
      <c r="A274" s="152" t="s">
        <v>28</v>
      </c>
      <c r="B274" s="486" t="s">
        <v>101</v>
      </c>
      <c r="C274" s="486"/>
      <c r="D274" s="153" t="s">
        <v>15</v>
      </c>
      <c r="E274" s="319">
        <f t="shared" ref="E274:G274" si="102">SUM(E273*0.1)</f>
        <v>9.1</v>
      </c>
      <c r="F274" s="319">
        <f t="shared" si="102"/>
        <v>0</v>
      </c>
      <c r="G274" s="319">
        <f t="shared" si="102"/>
        <v>11</v>
      </c>
      <c r="H274" s="319">
        <f t="shared" ref="H274" si="103">SUM(H273*0.1)</f>
        <v>2.9000000000000004</v>
      </c>
      <c r="I274" s="319">
        <v>0</v>
      </c>
      <c r="J274" s="337">
        <f t="shared" si="73"/>
        <v>23</v>
      </c>
      <c r="K274" s="154">
        <v>0</v>
      </c>
      <c r="L274" s="155">
        <f t="shared" si="101"/>
        <v>0</v>
      </c>
    </row>
    <row r="275" spans="1:36" ht="24.95" customHeight="1" x14ac:dyDescent="0.2">
      <c r="A275" s="162" t="s">
        <v>85</v>
      </c>
      <c r="B275" s="487" t="s">
        <v>86</v>
      </c>
      <c r="C275" s="487"/>
      <c r="D275" s="163" t="s">
        <v>14</v>
      </c>
      <c r="E275" s="317">
        <f>SUM(E277*1.05)</f>
        <v>126</v>
      </c>
      <c r="F275" s="317">
        <f>SUM(F277*1.05)</f>
        <v>0</v>
      </c>
      <c r="G275" s="317">
        <v>0</v>
      </c>
      <c r="H275" s="317">
        <f>SUM(H277*1.05)</f>
        <v>1081.08</v>
      </c>
      <c r="I275" s="317">
        <v>0</v>
      </c>
      <c r="J275" s="336">
        <f t="shared" si="73"/>
        <v>1207.08</v>
      </c>
      <c r="K275" s="164">
        <v>0</v>
      </c>
      <c r="L275" s="148">
        <f t="shared" si="101"/>
        <v>0</v>
      </c>
    </row>
    <row r="276" spans="1:36" ht="24.95" customHeight="1" x14ac:dyDescent="0.2">
      <c r="A276" s="151" t="s">
        <v>28</v>
      </c>
      <c r="B276" s="374" t="s">
        <v>421</v>
      </c>
      <c r="C276" s="442"/>
      <c r="D276" s="11" t="s">
        <v>14</v>
      </c>
      <c r="E276" s="315">
        <f t="shared" ref="E276:F276" si="104">E275</f>
        <v>126</v>
      </c>
      <c r="F276" s="315">
        <f t="shared" si="104"/>
        <v>0</v>
      </c>
      <c r="G276" s="315">
        <v>0</v>
      </c>
      <c r="H276" s="315">
        <f t="shared" ref="H276" si="105">H275</f>
        <v>1081.08</v>
      </c>
      <c r="I276" s="315">
        <v>0</v>
      </c>
      <c r="J276" s="332">
        <f t="shared" si="73"/>
        <v>1207.08</v>
      </c>
      <c r="K276" s="20">
        <v>0</v>
      </c>
      <c r="L276" s="150">
        <f t="shared" si="101"/>
        <v>0</v>
      </c>
    </row>
    <row r="277" spans="1:36" ht="24.95" customHeight="1" x14ac:dyDescent="0.2">
      <c r="A277" s="151" t="s">
        <v>87</v>
      </c>
      <c r="B277" s="392" t="s">
        <v>88</v>
      </c>
      <c r="C277" s="392"/>
      <c r="D277" s="11" t="s">
        <v>14</v>
      </c>
      <c r="E277" s="257">
        <v>120</v>
      </c>
      <c r="F277" s="257">
        <v>0</v>
      </c>
      <c r="G277" s="257">
        <v>0</v>
      </c>
      <c r="H277" s="257">
        <f>858*1.2</f>
        <v>1029.5999999999999</v>
      </c>
      <c r="I277" s="257">
        <v>0</v>
      </c>
      <c r="J277" s="332">
        <f t="shared" si="73"/>
        <v>1149.5999999999999</v>
      </c>
      <c r="K277" s="20">
        <v>0</v>
      </c>
      <c r="L277" s="150">
        <f t="shared" si="101"/>
        <v>0</v>
      </c>
    </row>
    <row r="278" spans="1:36" ht="32.25" customHeight="1" thickBot="1" x14ac:dyDescent="0.25">
      <c r="A278" s="152" t="s">
        <v>28</v>
      </c>
      <c r="B278" s="455" t="s">
        <v>110</v>
      </c>
      <c r="C278" s="456"/>
      <c r="D278" s="165" t="s">
        <v>14</v>
      </c>
      <c r="E278" s="320">
        <f>E276</f>
        <v>126</v>
      </c>
      <c r="F278" s="320">
        <f t="shared" ref="F278:H278" si="106">F276</f>
        <v>0</v>
      </c>
      <c r="G278" s="320">
        <f t="shared" si="106"/>
        <v>0</v>
      </c>
      <c r="H278" s="320">
        <f t="shared" si="106"/>
        <v>1081.08</v>
      </c>
      <c r="I278" s="320">
        <v>0</v>
      </c>
      <c r="J278" s="337">
        <f t="shared" si="73"/>
        <v>1207.08</v>
      </c>
      <c r="K278" s="166">
        <v>0</v>
      </c>
      <c r="L278" s="155">
        <f t="shared" si="101"/>
        <v>0</v>
      </c>
    </row>
    <row r="279" spans="1:36" s="80" customFormat="1" ht="24.95" customHeight="1" x14ac:dyDescent="0.2">
      <c r="A279" s="156" t="s">
        <v>227</v>
      </c>
      <c r="B279" s="157" t="s">
        <v>226</v>
      </c>
      <c r="C279" s="158"/>
      <c r="D279" s="159" t="s">
        <v>14</v>
      </c>
      <c r="E279" s="321">
        <f>E273</f>
        <v>91</v>
      </c>
      <c r="F279" s="321">
        <f t="shared" ref="F279" si="107">F273</f>
        <v>0</v>
      </c>
      <c r="G279" s="321">
        <f t="shared" ref="G279:I279" si="108">G273</f>
        <v>110</v>
      </c>
      <c r="H279" s="321">
        <f t="shared" si="108"/>
        <v>29</v>
      </c>
      <c r="I279" s="321">
        <f t="shared" si="108"/>
        <v>0</v>
      </c>
      <c r="J279" s="338">
        <f t="shared" si="73"/>
        <v>230</v>
      </c>
      <c r="K279" s="160">
        <v>0</v>
      </c>
      <c r="L279" s="161">
        <f t="shared" ref="L279:L280" si="109">J279*K279</f>
        <v>0</v>
      </c>
      <c r="M279" s="136"/>
      <c r="N279" s="136"/>
      <c r="O279" s="136"/>
      <c r="P279" s="136"/>
      <c r="Q279" s="136"/>
      <c r="R279" s="136"/>
      <c r="S279" s="136"/>
      <c r="T279" s="136"/>
      <c r="U279" s="136"/>
      <c r="V279" s="136"/>
      <c r="W279" s="136"/>
      <c r="X279" s="136"/>
      <c r="Y279" s="136"/>
      <c r="Z279" s="136"/>
      <c r="AA279" s="136"/>
      <c r="AB279" s="136"/>
      <c r="AC279" s="136"/>
      <c r="AD279" s="136"/>
      <c r="AE279" s="136"/>
      <c r="AF279" s="136"/>
      <c r="AG279" s="136"/>
      <c r="AH279" s="136"/>
      <c r="AI279" s="136"/>
      <c r="AJ279" s="136"/>
    </row>
    <row r="280" spans="1:36" s="80" customFormat="1" ht="24.95" customHeight="1" x14ac:dyDescent="0.2">
      <c r="A280" s="53" t="s">
        <v>228</v>
      </c>
      <c r="B280" s="81" t="s">
        <v>229</v>
      </c>
      <c r="C280" s="111"/>
      <c r="D280" s="78" t="s">
        <v>14</v>
      </c>
      <c r="E280" s="289">
        <f>E277</f>
        <v>120</v>
      </c>
      <c r="F280" s="289">
        <f t="shared" ref="F280" si="110">F277</f>
        <v>0</v>
      </c>
      <c r="G280" s="289">
        <f t="shared" ref="G280:I280" si="111">G277</f>
        <v>0</v>
      </c>
      <c r="H280" s="289">
        <f t="shared" si="111"/>
        <v>1029.5999999999999</v>
      </c>
      <c r="I280" s="289">
        <f t="shared" si="111"/>
        <v>0</v>
      </c>
      <c r="J280" s="332">
        <f t="shared" si="73"/>
        <v>1149.5999999999999</v>
      </c>
      <c r="K280" s="79">
        <v>0</v>
      </c>
      <c r="L280" s="119">
        <f t="shared" si="109"/>
        <v>0</v>
      </c>
      <c r="M280" s="136"/>
      <c r="N280" s="136"/>
      <c r="O280" s="136"/>
      <c r="P280" s="136"/>
      <c r="Q280" s="136"/>
      <c r="R280" s="136"/>
      <c r="S280" s="136"/>
      <c r="T280" s="136"/>
      <c r="U280" s="136"/>
      <c r="V280" s="136"/>
      <c r="W280" s="136"/>
      <c r="X280" s="136"/>
      <c r="Y280" s="136"/>
      <c r="Z280" s="136"/>
      <c r="AA280" s="136"/>
      <c r="AB280" s="136"/>
      <c r="AC280" s="136"/>
      <c r="AD280" s="136"/>
      <c r="AE280" s="136"/>
      <c r="AF280" s="136"/>
      <c r="AG280" s="136"/>
      <c r="AH280" s="136"/>
      <c r="AI280" s="136"/>
      <c r="AJ280" s="136"/>
    </row>
    <row r="281" spans="1:36" ht="24.95" customHeight="1" x14ac:dyDescent="0.2">
      <c r="A281" s="10"/>
      <c r="B281" s="459" t="s">
        <v>243</v>
      </c>
      <c r="C281" s="459"/>
      <c r="D281" s="61"/>
      <c r="E281" s="232"/>
      <c r="F281" s="232"/>
      <c r="G281" s="232"/>
      <c r="H281" s="232"/>
      <c r="I281" s="232"/>
      <c r="J281" s="233"/>
      <c r="K281" s="120"/>
      <c r="L281" s="106">
        <f>SUM(L253:L280)</f>
        <v>0</v>
      </c>
    </row>
    <row r="282" spans="1:36" s="35" customFormat="1" ht="24.95" customHeight="1" x14ac:dyDescent="0.25">
      <c r="A282" s="369"/>
      <c r="B282" s="370" t="s">
        <v>7</v>
      </c>
      <c r="C282" s="370"/>
      <c r="D282" s="370" t="s">
        <v>194</v>
      </c>
      <c r="E282" s="371" t="s">
        <v>114</v>
      </c>
      <c r="F282" s="371"/>
      <c r="G282" s="371"/>
      <c r="H282" s="371"/>
      <c r="I282" s="371"/>
      <c r="J282" s="371"/>
      <c r="K282" s="372" t="s">
        <v>4</v>
      </c>
      <c r="L282" s="391" t="s">
        <v>115</v>
      </c>
      <c r="M282" s="130"/>
      <c r="N282" s="130"/>
      <c r="O282" s="130"/>
      <c r="P282" s="130"/>
      <c r="Q282" s="130"/>
      <c r="R282" s="130"/>
      <c r="S282" s="130"/>
      <c r="T282" s="130"/>
      <c r="U282" s="130"/>
      <c r="V282" s="130"/>
      <c r="W282" s="130"/>
      <c r="X282" s="130"/>
      <c r="Y282" s="130"/>
      <c r="Z282" s="130"/>
      <c r="AA282" s="130"/>
      <c r="AB282" s="130"/>
      <c r="AC282" s="130"/>
      <c r="AD282" s="130"/>
      <c r="AE282" s="130"/>
      <c r="AF282" s="130"/>
      <c r="AG282" s="130"/>
      <c r="AH282" s="130"/>
      <c r="AI282" s="130"/>
      <c r="AJ282" s="130"/>
    </row>
    <row r="283" spans="1:36" s="6" customFormat="1" ht="24.95" customHeight="1" x14ac:dyDescent="0.25">
      <c r="A283" s="369"/>
      <c r="B283" s="370"/>
      <c r="C283" s="370"/>
      <c r="D283" s="370"/>
      <c r="E283" s="259" t="s">
        <v>245</v>
      </c>
      <c r="F283" s="259" t="s">
        <v>246</v>
      </c>
      <c r="G283" s="259" t="s">
        <v>341</v>
      </c>
      <c r="H283" s="259" t="s">
        <v>342</v>
      </c>
      <c r="I283" s="259" t="s">
        <v>343</v>
      </c>
      <c r="J283" s="262" t="s">
        <v>8</v>
      </c>
      <c r="K283" s="372"/>
      <c r="L283" s="391"/>
      <c r="M283" s="131"/>
      <c r="N283" s="131"/>
      <c r="O283" s="131"/>
      <c r="P283" s="131"/>
      <c r="Q283" s="131"/>
      <c r="R283" s="131"/>
      <c r="S283" s="131"/>
      <c r="T283" s="131"/>
      <c r="U283" s="131"/>
      <c r="V283" s="131"/>
      <c r="W283" s="131"/>
      <c r="X283" s="131"/>
      <c r="Y283" s="131"/>
      <c r="Z283" s="131"/>
      <c r="AA283" s="131"/>
      <c r="AB283" s="131"/>
      <c r="AC283" s="131"/>
      <c r="AD283" s="131"/>
      <c r="AE283" s="131"/>
      <c r="AF283" s="131"/>
      <c r="AG283" s="131"/>
      <c r="AH283" s="131"/>
      <c r="AI283" s="131"/>
      <c r="AJ283" s="131"/>
    </row>
    <row r="284" spans="1:36" ht="24.75" customHeight="1" x14ac:dyDescent="0.2">
      <c r="A284" s="11"/>
      <c r="B284" s="422" t="s">
        <v>212</v>
      </c>
      <c r="C284" s="422"/>
      <c r="D284" s="422"/>
      <c r="E284" s="422"/>
      <c r="F284" s="422"/>
      <c r="G284" s="422"/>
      <c r="H284" s="422"/>
      <c r="I284" s="422"/>
      <c r="J284" s="422"/>
      <c r="K284" s="422"/>
      <c r="L284" s="422"/>
    </row>
    <row r="285" spans="1:36" s="34" customFormat="1" ht="24.75" customHeight="1" x14ac:dyDescent="0.2">
      <c r="A285" s="33" t="s">
        <v>27</v>
      </c>
      <c r="B285" s="392" t="s">
        <v>181</v>
      </c>
      <c r="C285" s="392"/>
      <c r="D285" s="32" t="s">
        <v>14</v>
      </c>
      <c r="E285" s="311">
        <v>0</v>
      </c>
      <c r="F285" s="311">
        <v>0</v>
      </c>
      <c r="G285" s="311">
        <v>0</v>
      </c>
      <c r="H285" s="311">
        <v>31</v>
      </c>
      <c r="I285" s="256">
        <v>0</v>
      </c>
      <c r="J285" s="332">
        <f t="shared" ref="J285:J294" si="112">SUM(E285:I285)</f>
        <v>31</v>
      </c>
      <c r="K285" s="60">
        <v>0</v>
      </c>
      <c r="L285" s="118">
        <f>K285*J285</f>
        <v>0</v>
      </c>
      <c r="M285" s="134"/>
      <c r="N285" s="129"/>
      <c r="O285" s="129"/>
      <c r="P285" s="129"/>
      <c r="Q285" s="129"/>
      <c r="R285" s="129"/>
      <c r="S285" s="129"/>
      <c r="T285" s="129"/>
      <c r="U285" s="129"/>
      <c r="V285" s="129"/>
      <c r="W285" s="129"/>
      <c r="X285" s="129"/>
      <c r="Y285" s="129"/>
      <c r="Z285" s="129"/>
      <c r="AA285" s="129"/>
      <c r="AB285" s="129"/>
      <c r="AC285" s="129"/>
      <c r="AD285" s="129"/>
      <c r="AE285" s="129"/>
      <c r="AF285" s="129"/>
      <c r="AG285" s="129"/>
      <c r="AH285" s="129"/>
      <c r="AI285" s="129"/>
      <c r="AJ285" s="129"/>
    </row>
    <row r="286" spans="1:36" s="34" customFormat="1" ht="24.95" customHeight="1" x14ac:dyDescent="0.2">
      <c r="A286" s="32" t="s">
        <v>55</v>
      </c>
      <c r="B286" s="393" t="s">
        <v>32</v>
      </c>
      <c r="C286" s="394"/>
      <c r="D286" s="32" t="s">
        <v>14</v>
      </c>
      <c r="E286" s="311">
        <v>0</v>
      </c>
      <c r="F286" s="311">
        <v>0</v>
      </c>
      <c r="G286" s="311">
        <v>0</v>
      </c>
      <c r="H286" s="311">
        <v>31</v>
      </c>
      <c r="I286" s="256">
        <v>0</v>
      </c>
      <c r="J286" s="332">
        <f t="shared" si="112"/>
        <v>31</v>
      </c>
      <c r="K286" s="20">
        <v>0</v>
      </c>
      <c r="L286" s="118">
        <f t="shared" ref="L286:L288" si="113">K286*J286</f>
        <v>0</v>
      </c>
      <c r="M286" s="129"/>
      <c r="N286" s="129"/>
      <c r="O286" s="129"/>
      <c r="P286" s="129"/>
      <c r="Q286" s="129"/>
      <c r="R286" s="129"/>
      <c r="S286" s="129"/>
      <c r="T286" s="129"/>
      <c r="U286" s="129"/>
      <c r="V286" s="129"/>
      <c r="W286" s="129"/>
      <c r="X286" s="129"/>
      <c r="Y286" s="129"/>
      <c r="Z286" s="129"/>
      <c r="AA286" s="129"/>
      <c r="AB286" s="129"/>
      <c r="AC286" s="129"/>
      <c r="AD286" s="129"/>
      <c r="AE286" s="129"/>
      <c r="AF286" s="129"/>
      <c r="AG286" s="129"/>
      <c r="AH286" s="129"/>
      <c r="AI286" s="129"/>
      <c r="AJ286" s="129"/>
    </row>
    <row r="287" spans="1:36" s="34" customFormat="1" ht="24.95" customHeight="1" x14ac:dyDescent="0.2">
      <c r="A287" s="32" t="s">
        <v>28</v>
      </c>
      <c r="B287" s="395" t="s">
        <v>159</v>
      </c>
      <c r="C287" s="393"/>
      <c r="D287" s="32" t="s">
        <v>50</v>
      </c>
      <c r="E287" s="311">
        <v>0</v>
      </c>
      <c r="F287" s="311">
        <v>0</v>
      </c>
      <c r="G287" s="311">
        <v>0</v>
      </c>
      <c r="H287" s="343">
        <f>H285*0.0008</f>
        <v>2.4800000000000003E-2</v>
      </c>
      <c r="I287" s="256">
        <v>0</v>
      </c>
      <c r="J287" s="334">
        <f t="shared" si="112"/>
        <v>2.4800000000000003E-2</v>
      </c>
      <c r="K287" s="20">
        <v>0</v>
      </c>
      <c r="L287" s="118">
        <f t="shared" si="113"/>
        <v>0</v>
      </c>
      <c r="M287" s="129"/>
      <c r="N287" s="129"/>
      <c r="O287" s="129"/>
      <c r="P287" s="129"/>
      <c r="Q287" s="129"/>
      <c r="R287" s="129"/>
      <c r="S287" s="129"/>
      <c r="T287" s="129"/>
      <c r="U287" s="129"/>
      <c r="V287" s="129"/>
      <c r="W287" s="129"/>
      <c r="X287" s="129"/>
      <c r="Y287" s="129"/>
      <c r="Z287" s="129"/>
      <c r="AA287" s="129"/>
      <c r="AB287" s="129"/>
      <c r="AC287" s="129"/>
      <c r="AD287" s="129"/>
      <c r="AE287" s="129"/>
      <c r="AF287" s="129"/>
      <c r="AG287" s="129"/>
      <c r="AH287" s="129"/>
      <c r="AI287" s="129"/>
      <c r="AJ287" s="129"/>
    </row>
    <row r="288" spans="1:36" s="34" customFormat="1" ht="24.95" customHeight="1" x14ac:dyDescent="0.2">
      <c r="A288" s="32" t="s">
        <v>69</v>
      </c>
      <c r="B288" s="393" t="s">
        <v>99</v>
      </c>
      <c r="C288" s="393"/>
      <c r="D288" s="32" t="s">
        <v>14</v>
      </c>
      <c r="E288" s="311">
        <v>0</v>
      </c>
      <c r="F288" s="311">
        <v>0</v>
      </c>
      <c r="G288" s="311">
        <v>0</v>
      </c>
      <c r="H288" s="311">
        <v>31</v>
      </c>
      <c r="I288" s="256">
        <v>0</v>
      </c>
      <c r="J288" s="332">
        <f t="shared" si="112"/>
        <v>31</v>
      </c>
      <c r="K288" s="20">
        <v>0</v>
      </c>
      <c r="L288" s="118">
        <f t="shared" si="113"/>
        <v>0</v>
      </c>
      <c r="M288" s="129"/>
      <c r="N288" s="129"/>
      <c r="O288" s="129"/>
      <c r="P288" s="129"/>
      <c r="Q288" s="129"/>
      <c r="R288" s="129"/>
      <c r="S288" s="129"/>
      <c r="T288" s="129"/>
      <c r="U288" s="129"/>
      <c r="V288" s="129"/>
      <c r="W288" s="129"/>
      <c r="X288" s="129"/>
      <c r="Y288" s="129"/>
      <c r="Z288" s="129"/>
      <c r="AA288" s="129"/>
      <c r="AB288" s="129"/>
      <c r="AC288" s="129"/>
      <c r="AD288" s="129"/>
      <c r="AE288" s="129"/>
      <c r="AF288" s="129"/>
      <c r="AG288" s="129"/>
      <c r="AH288" s="129"/>
      <c r="AI288" s="129"/>
      <c r="AJ288" s="129"/>
    </row>
    <row r="289" spans="1:36" ht="24.95" customHeight="1" x14ac:dyDescent="0.2">
      <c r="A289" s="39" t="s">
        <v>27</v>
      </c>
      <c r="B289" s="423" t="s">
        <v>173</v>
      </c>
      <c r="C289" s="423"/>
      <c r="D289" s="22" t="s">
        <v>9</v>
      </c>
      <c r="E289" s="311">
        <v>0</v>
      </c>
      <c r="F289" s="311">
        <v>0</v>
      </c>
      <c r="G289" s="311">
        <v>0</v>
      </c>
      <c r="H289" s="311">
        <f>H132</f>
        <v>351</v>
      </c>
      <c r="I289" s="311">
        <v>0</v>
      </c>
      <c r="J289" s="339">
        <f t="shared" si="112"/>
        <v>351</v>
      </c>
      <c r="K289" s="20">
        <v>0</v>
      </c>
      <c r="L289" s="67">
        <f t="shared" ref="L289:L294" si="114">K289*J289</f>
        <v>0</v>
      </c>
    </row>
    <row r="290" spans="1:36" ht="24.95" customHeight="1" x14ac:dyDescent="0.2">
      <c r="A290" s="39" t="s">
        <v>213</v>
      </c>
      <c r="B290" s="423" t="s">
        <v>214</v>
      </c>
      <c r="C290" s="423"/>
      <c r="D290" s="36" t="s">
        <v>9</v>
      </c>
      <c r="E290" s="311">
        <v>0</v>
      </c>
      <c r="F290" s="311">
        <v>0</v>
      </c>
      <c r="G290" s="311">
        <v>0</v>
      </c>
      <c r="H290" s="330">
        <f>H289</f>
        <v>351</v>
      </c>
      <c r="I290" s="311">
        <v>0</v>
      </c>
      <c r="J290" s="339">
        <f t="shared" si="112"/>
        <v>351</v>
      </c>
      <c r="K290" s="105">
        <v>0</v>
      </c>
      <c r="L290" s="67">
        <f t="shared" si="114"/>
        <v>0</v>
      </c>
    </row>
    <row r="291" spans="1:36" ht="24.95" customHeight="1" x14ac:dyDescent="0.2">
      <c r="A291" s="167" t="s">
        <v>28</v>
      </c>
      <c r="B291" s="417" t="s">
        <v>104</v>
      </c>
      <c r="C291" s="417"/>
      <c r="D291" s="19" t="s">
        <v>15</v>
      </c>
      <c r="E291" s="311">
        <v>0</v>
      </c>
      <c r="F291" s="311">
        <v>0</v>
      </c>
      <c r="G291" s="311">
        <v>0</v>
      </c>
      <c r="H291" s="313">
        <f>SUM(H289*0.01)</f>
        <v>3.5100000000000002</v>
      </c>
      <c r="I291" s="311">
        <v>0</v>
      </c>
      <c r="J291" s="332">
        <f t="shared" si="112"/>
        <v>3.5100000000000002</v>
      </c>
      <c r="K291" s="23">
        <v>0</v>
      </c>
      <c r="L291" s="168">
        <f t="shared" si="114"/>
        <v>0</v>
      </c>
    </row>
    <row r="292" spans="1:36" ht="24.95" customHeight="1" x14ac:dyDescent="0.2">
      <c r="A292" s="11" t="s">
        <v>217</v>
      </c>
      <c r="B292" s="392" t="s">
        <v>218</v>
      </c>
      <c r="C292" s="392"/>
      <c r="D292" s="104" t="s">
        <v>15</v>
      </c>
      <c r="E292" s="311">
        <v>0</v>
      </c>
      <c r="F292" s="311">
        <v>0</v>
      </c>
      <c r="G292" s="311">
        <v>0</v>
      </c>
      <c r="H292" s="331">
        <f>31*0.02</f>
        <v>0.62</v>
      </c>
      <c r="I292" s="311">
        <v>0</v>
      </c>
      <c r="J292" s="339">
        <f t="shared" si="112"/>
        <v>0.62</v>
      </c>
      <c r="K292" s="20">
        <v>0</v>
      </c>
      <c r="L292" s="67">
        <f t="shared" si="114"/>
        <v>0</v>
      </c>
    </row>
    <row r="293" spans="1:36" ht="24.95" customHeight="1" x14ac:dyDescent="0.2">
      <c r="A293" s="11" t="s">
        <v>29</v>
      </c>
      <c r="B293" s="373" t="s">
        <v>25</v>
      </c>
      <c r="C293" s="373"/>
      <c r="D293" s="11" t="s">
        <v>14</v>
      </c>
      <c r="E293" s="311">
        <v>0</v>
      </c>
      <c r="F293" s="311">
        <v>0</v>
      </c>
      <c r="G293" s="311">
        <v>0</v>
      </c>
      <c r="H293" s="328">
        <v>31</v>
      </c>
      <c r="I293" s="311">
        <v>0</v>
      </c>
      <c r="J293" s="339">
        <f t="shared" si="112"/>
        <v>31</v>
      </c>
      <c r="K293" s="20">
        <v>0</v>
      </c>
      <c r="L293" s="67">
        <f t="shared" si="114"/>
        <v>0</v>
      </c>
    </row>
    <row r="294" spans="1:36" ht="24.95" customHeight="1" x14ac:dyDescent="0.2">
      <c r="A294" s="11" t="s">
        <v>28</v>
      </c>
      <c r="B294" s="373" t="s">
        <v>101</v>
      </c>
      <c r="C294" s="373"/>
      <c r="D294" s="11" t="s">
        <v>15</v>
      </c>
      <c r="E294" s="311">
        <v>0</v>
      </c>
      <c r="F294" s="311">
        <v>0</v>
      </c>
      <c r="G294" s="311">
        <v>0</v>
      </c>
      <c r="H294" s="312">
        <v>3.1</v>
      </c>
      <c r="I294" s="311">
        <v>0</v>
      </c>
      <c r="J294" s="339">
        <f t="shared" si="112"/>
        <v>3.1</v>
      </c>
      <c r="K294" s="20">
        <v>0</v>
      </c>
      <c r="L294" s="67">
        <f t="shared" si="114"/>
        <v>0</v>
      </c>
    </row>
    <row r="295" spans="1:36" ht="24.95" customHeight="1" x14ac:dyDescent="0.2">
      <c r="A295" s="11"/>
      <c r="B295" s="421" t="s">
        <v>215</v>
      </c>
      <c r="C295" s="421"/>
      <c r="D295" s="61"/>
      <c r="E295" s="232"/>
      <c r="F295" s="232"/>
      <c r="G295" s="232"/>
      <c r="H295" s="232"/>
      <c r="I295" s="232"/>
      <c r="J295" s="234"/>
      <c r="K295" s="62"/>
      <c r="L295" s="106">
        <f>SUM(L285:L294)</f>
        <v>0</v>
      </c>
    </row>
    <row r="296" spans="1:36" s="35" customFormat="1" ht="24.95" customHeight="1" x14ac:dyDescent="0.25">
      <c r="A296" s="369"/>
      <c r="B296" s="370" t="s">
        <v>7</v>
      </c>
      <c r="C296" s="370"/>
      <c r="D296" s="370" t="s">
        <v>194</v>
      </c>
      <c r="E296" s="371" t="s">
        <v>114</v>
      </c>
      <c r="F296" s="371"/>
      <c r="G296" s="371"/>
      <c r="H296" s="371"/>
      <c r="I296" s="371"/>
      <c r="J296" s="371"/>
      <c r="K296" s="372" t="s">
        <v>4</v>
      </c>
      <c r="L296" s="391" t="s">
        <v>115</v>
      </c>
      <c r="M296" s="130"/>
      <c r="N296" s="130"/>
      <c r="O296" s="130"/>
      <c r="P296" s="130"/>
      <c r="Q296" s="130"/>
      <c r="R296" s="130"/>
      <c r="S296" s="130"/>
      <c r="T296" s="130"/>
      <c r="U296" s="130"/>
      <c r="V296" s="130"/>
      <c r="W296" s="130"/>
      <c r="X296" s="130"/>
      <c r="Y296" s="130"/>
      <c r="Z296" s="130"/>
      <c r="AA296" s="130"/>
      <c r="AB296" s="130"/>
      <c r="AC296" s="130"/>
      <c r="AD296" s="130"/>
      <c r="AE296" s="130"/>
      <c r="AF296" s="130"/>
      <c r="AG296" s="130"/>
      <c r="AH296" s="130"/>
      <c r="AI296" s="130"/>
      <c r="AJ296" s="130"/>
    </row>
    <row r="297" spans="1:36" s="6" customFormat="1" ht="24.95" customHeight="1" x14ac:dyDescent="0.25">
      <c r="A297" s="369"/>
      <c r="B297" s="370"/>
      <c r="C297" s="370"/>
      <c r="D297" s="370"/>
      <c r="E297" s="259" t="s">
        <v>245</v>
      </c>
      <c r="F297" s="259" t="s">
        <v>246</v>
      </c>
      <c r="G297" s="259" t="s">
        <v>341</v>
      </c>
      <c r="H297" s="259" t="s">
        <v>342</v>
      </c>
      <c r="I297" s="259" t="s">
        <v>343</v>
      </c>
      <c r="J297" s="262" t="s">
        <v>8</v>
      </c>
      <c r="K297" s="372"/>
      <c r="L297" s="391"/>
      <c r="M297" s="131"/>
      <c r="N297" s="131"/>
      <c r="O297" s="131"/>
      <c r="P297" s="131"/>
      <c r="Q297" s="131"/>
      <c r="R297" s="131"/>
      <c r="S297" s="131"/>
      <c r="T297" s="131"/>
      <c r="U297" s="131"/>
      <c r="V297" s="131"/>
      <c r="W297" s="131"/>
      <c r="X297" s="131"/>
      <c r="Y297" s="131"/>
      <c r="Z297" s="131"/>
      <c r="AA297" s="131"/>
      <c r="AB297" s="131"/>
      <c r="AC297" s="131"/>
      <c r="AD297" s="131"/>
      <c r="AE297" s="131"/>
      <c r="AF297" s="131"/>
      <c r="AG297" s="131"/>
      <c r="AH297" s="131"/>
      <c r="AI297" s="131"/>
      <c r="AJ297" s="131"/>
    </row>
    <row r="298" spans="1:36" ht="24.95" customHeight="1" x14ac:dyDescent="0.2">
      <c r="A298" s="10"/>
      <c r="B298" s="435" t="s">
        <v>19</v>
      </c>
      <c r="C298" s="435"/>
      <c r="D298" s="435"/>
      <c r="E298" s="435"/>
      <c r="F298" s="435"/>
      <c r="G298" s="435"/>
      <c r="H298" s="435"/>
      <c r="I298" s="435"/>
      <c r="J298" s="435"/>
      <c r="K298" s="435"/>
      <c r="L298" s="435"/>
    </row>
    <row r="299" spans="1:36" ht="24.95" customHeight="1" x14ac:dyDescent="0.2">
      <c r="A299" s="17" t="s">
        <v>27</v>
      </c>
      <c r="B299" s="392" t="s">
        <v>322</v>
      </c>
      <c r="C299" s="392"/>
      <c r="D299" s="33" t="s">
        <v>9</v>
      </c>
      <c r="E299" s="257">
        <v>7</v>
      </c>
      <c r="F299" s="257">
        <v>0</v>
      </c>
      <c r="G299" s="257">
        <v>0</v>
      </c>
      <c r="H299" s="257">
        <v>0</v>
      </c>
      <c r="I299" s="257">
        <v>0</v>
      </c>
      <c r="J299" s="285">
        <f t="shared" ref="J299:J326" si="115">SUM(E299:I299)</f>
        <v>7</v>
      </c>
      <c r="K299" s="40">
        <v>0</v>
      </c>
      <c r="L299" s="67">
        <f t="shared" ref="L299" si="116">J299*K299</f>
        <v>0</v>
      </c>
    </row>
    <row r="300" spans="1:36" s="28" customFormat="1" ht="24.95" customHeight="1" x14ac:dyDescent="0.2">
      <c r="A300" s="11" t="s">
        <v>27</v>
      </c>
      <c r="B300" s="403" t="s">
        <v>174</v>
      </c>
      <c r="C300" s="403"/>
      <c r="D300" s="33" t="s">
        <v>9</v>
      </c>
      <c r="E300" s="270">
        <f>E71+E80+7</f>
        <v>18</v>
      </c>
      <c r="F300" s="270">
        <f>F71+F80</f>
        <v>25</v>
      </c>
      <c r="G300" s="270">
        <v>0</v>
      </c>
      <c r="H300" s="270">
        <f>H71+H80</f>
        <v>6</v>
      </c>
      <c r="I300" s="270">
        <f>I71+I80</f>
        <v>7</v>
      </c>
      <c r="J300" s="285">
        <f t="shared" si="115"/>
        <v>56</v>
      </c>
      <c r="K300" s="40">
        <v>0</v>
      </c>
      <c r="L300" s="67">
        <f t="shared" ref="L300:L326" si="117">J300*K300</f>
        <v>0</v>
      </c>
      <c r="M300" s="132"/>
      <c r="N300" s="132"/>
      <c r="O300" s="132"/>
      <c r="P300" s="132"/>
      <c r="Q300" s="132"/>
      <c r="R300" s="132"/>
      <c r="S300" s="132"/>
      <c r="T300" s="132"/>
      <c r="U300" s="132"/>
      <c r="V300" s="132"/>
      <c r="W300" s="132"/>
      <c r="X300" s="132"/>
      <c r="Y300" s="132"/>
      <c r="Z300" s="132"/>
      <c r="AA300" s="132"/>
      <c r="AB300" s="132"/>
      <c r="AC300" s="132"/>
      <c r="AD300" s="132"/>
      <c r="AE300" s="132"/>
      <c r="AF300" s="132"/>
      <c r="AG300" s="132"/>
      <c r="AH300" s="132"/>
      <c r="AI300" s="132"/>
      <c r="AJ300" s="132"/>
    </row>
    <row r="301" spans="1:36" s="80" customFormat="1" ht="24.95" customHeight="1" x14ac:dyDescent="0.2">
      <c r="A301" s="78" t="s">
        <v>230</v>
      </c>
      <c r="B301" s="427" t="s">
        <v>231</v>
      </c>
      <c r="C301" s="428"/>
      <c r="D301" s="52" t="s">
        <v>9</v>
      </c>
      <c r="E301" s="322">
        <f>E71+7</f>
        <v>18</v>
      </c>
      <c r="F301" s="322">
        <f>F71</f>
        <v>0</v>
      </c>
      <c r="G301" s="322">
        <v>0</v>
      </c>
      <c r="H301" s="322">
        <f>H71</f>
        <v>0</v>
      </c>
      <c r="I301" s="322">
        <f>I71</f>
        <v>0</v>
      </c>
      <c r="J301" s="285">
        <f t="shared" si="115"/>
        <v>18</v>
      </c>
      <c r="K301" s="79">
        <v>0</v>
      </c>
      <c r="L301" s="119">
        <f t="shared" si="117"/>
        <v>0</v>
      </c>
      <c r="M301" s="136"/>
      <c r="N301" s="136"/>
      <c r="O301" s="136"/>
      <c r="P301" s="136"/>
      <c r="Q301" s="136"/>
      <c r="R301" s="136"/>
      <c r="S301" s="136"/>
      <c r="T301" s="136"/>
      <c r="U301" s="136"/>
      <c r="V301" s="136"/>
      <c r="W301" s="136"/>
      <c r="X301" s="136"/>
      <c r="Y301" s="136"/>
      <c r="Z301" s="136"/>
      <c r="AA301" s="136"/>
      <c r="AB301" s="136"/>
      <c r="AC301" s="136"/>
      <c r="AD301" s="136"/>
      <c r="AE301" s="136"/>
      <c r="AF301" s="136"/>
      <c r="AG301" s="136"/>
      <c r="AH301" s="136"/>
      <c r="AI301" s="136"/>
      <c r="AJ301" s="136"/>
    </row>
    <row r="302" spans="1:36" s="80" customFormat="1" ht="24.95" customHeight="1" x14ac:dyDescent="0.2">
      <c r="A302" s="78" t="s">
        <v>233</v>
      </c>
      <c r="B302" s="427" t="s">
        <v>232</v>
      </c>
      <c r="C302" s="428"/>
      <c r="D302" s="52" t="s">
        <v>9</v>
      </c>
      <c r="E302" s="322">
        <f>E80</f>
        <v>0</v>
      </c>
      <c r="F302" s="322">
        <f>F80</f>
        <v>25</v>
      </c>
      <c r="G302" s="322">
        <v>0</v>
      </c>
      <c r="H302" s="322">
        <f>H80</f>
        <v>6</v>
      </c>
      <c r="I302" s="322">
        <f>I80</f>
        <v>7</v>
      </c>
      <c r="J302" s="285">
        <f t="shared" si="115"/>
        <v>38</v>
      </c>
      <c r="K302" s="79">
        <v>0</v>
      </c>
      <c r="L302" s="119">
        <f t="shared" si="117"/>
        <v>0</v>
      </c>
      <c r="M302" s="136"/>
      <c r="N302" s="136"/>
      <c r="O302" s="136"/>
      <c r="P302" s="136"/>
      <c r="Q302" s="136"/>
      <c r="R302" s="136"/>
      <c r="S302" s="136"/>
      <c r="T302" s="136"/>
      <c r="U302" s="136"/>
      <c r="V302" s="136"/>
      <c r="W302" s="136"/>
      <c r="X302" s="136"/>
      <c r="Y302" s="136"/>
      <c r="Z302" s="136"/>
      <c r="AA302" s="136"/>
      <c r="AB302" s="136"/>
      <c r="AC302" s="136"/>
      <c r="AD302" s="136"/>
      <c r="AE302" s="136"/>
      <c r="AF302" s="136"/>
      <c r="AG302" s="136"/>
      <c r="AH302" s="136"/>
      <c r="AI302" s="136"/>
      <c r="AJ302" s="136"/>
    </row>
    <row r="303" spans="1:36" s="80" customFormat="1" ht="24.95" customHeight="1" x14ac:dyDescent="0.2">
      <c r="A303" s="78" t="s">
        <v>235</v>
      </c>
      <c r="B303" s="427" t="s">
        <v>234</v>
      </c>
      <c r="C303" s="428"/>
      <c r="D303" s="52" t="s">
        <v>9</v>
      </c>
      <c r="E303" s="289">
        <f t="shared" ref="E303:F303" si="118">SUM(E301)</f>
        <v>18</v>
      </c>
      <c r="F303" s="289">
        <f t="shared" si="118"/>
        <v>0</v>
      </c>
      <c r="G303" s="289">
        <v>0</v>
      </c>
      <c r="H303" s="289">
        <f t="shared" ref="H303:I303" si="119">SUM(H301)</f>
        <v>0</v>
      </c>
      <c r="I303" s="289">
        <f t="shared" si="119"/>
        <v>0</v>
      </c>
      <c r="J303" s="285">
        <f t="shared" si="115"/>
        <v>18</v>
      </c>
      <c r="K303" s="79">
        <v>0</v>
      </c>
      <c r="L303" s="119">
        <f t="shared" si="117"/>
        <v>0</v>
      </c>
      <c r="M303" s="136"/>
      <c r="N303" s="136"/>
      <c r="O303" s="136"/>
      <c r="P303" s="136"/>
      <c r="Q303" s="136"/>
      <c r="R303" s="136"/>
      <c r="S303" s="136"/>
      <c r="T303" s="136"/>
      <c r="U303" s="136"/>
      <c r="V303" s="136"/>
      <c r="W303" s="136"/>
      <c r="X303" s="136"/>
      <c r="Y303" s="136"/>
      <c r="Z303" s="136"/>
      <c r="AA303" s="136"/>
      <c r="AB303" s="136"/>
      <c r="AC303" s="136"/>
      <c r="AD303" s="136"/>
      <c r="AE303" s="136"/>
      <c r="AF303" s="136"/>
      <c r="AG303" s="136"/>
      <c r="AH303" s="136"/>
      <c r="AI303" s="136"/>
      <c r="AJ303" s="136"/>
    </row>
    <row r="304" spans="1:36" s="80" customFormat="1" ht="24.95" customHeight="1" x14ac:dyDescent="0.2">
      <c r="A304" s="78" t="s">
        <v>237</v>
      </c>
      <c r="B304" s="427" t="s">
        <v>236</v>
      </c>
      <c r="C304" s="428"/>
      <c r="D304" s="52" t="s">
        <v>9</v>
      </c>
      <c r="E304" s="289">
        <f t="shared" ref="E304:F304" si="120">E302</f>
        <v>0</v>
      </c>
      <c r="F304" s="289">
        <f t="shared" si="120"/>
        <v>25</v>
      </c>
      <c r="G304" s="289">
        <f t="shared" ref="G304:I304" si="121">G302</f>
        <v>0</v>
      </c>
      <c r="H304" s="289">
        <f t="shared" si="121"/>
        <v>6</v>
      </c>
      <c r="I304" s="289">
        <f t="shared" si="121"/>
        <v>7</v>
      </c>
      <c r="J304" s="285">
        <f t="shared" si="115"/>
        <v>38</v>
      </c>
      <c r="K304" s="79">
        <v>0</v>
      </c>
      <c r="L304" s="119">
        <f>J304*K304</f>
        <v>0</v>
      </c>
      <c r="M304" s="136"/>
      <c r="N304" s="136"/>
      <c r="O304" s="136"/>
      <c r="P304" s="136"/>
      <c r="Q304" s="136"/>
      <c r="R304" s="136"/>
      <c r="S304" s="136"/>
      <c r="T304" s="136"/>
      <c r="U304" s="136"/>
      <c r="V304" s="136"/>
      <c r="W304" s="136"/>
      <c r="X304" s="136"/>
      <c r="Y304" s="136"/>
      <c r="Z304" s="136"/>
      <c r="AA304" s="136"/>
      <c r="AB304" s="136"/>
      <c r="AC304" s="136"/>
      <c r="AD304" s="136"/>
      <c r="AE304" s="136"/>
      <c r="AF304" s="136"/>
      <c r="AG304" s="136"/>
      <c r="AH304" s="136"/>
      <c r="AI304" s="136"/>
      <c r="AJ304" s="136"/>
    </row>
    <row r="305" spans="1:36" ht="24.95" customHeight="1" x14ac:dyDescent="0.2">
      <c r="A305" s="33" t="s">
        <v>217</v>
      </c>
      <c r="B305" s="408" t="s">
        <v>218</v>
      </c>
      <c r="C305" s="408"/>
      <c r="D305" s="63" t="s">
        <v>15</v>
      </c>
      <c r="E305" s="270">
        <f>E300*0.08</f>
        <v>1.44</v>
      </c>
      <c r="F305" s="270">
        <f t="shared" ref="F305" si="122">F300*0.08</f>
        <v>2</v>
      </c>
      <c r="G305" s="270">
        <f t="shared" ref="G305:I305" si="123">G300*0.08</f>
        <v>0</v>
      </c>
      <c r="H305" s="315">
        <f>H300*0.08</f>
        <v>0.48</v>
      </c>
      <c r="I305" s="315">
        <f t="shared" si="123"/>
        <v>0.56000000000000005</v>
      </c>
      <c r="J305" s="285">
        <f t="shared" si="115"/>
        <v>4.4800000000000004</v>
      </c>
      <c r="K305" s="20">
        <v>0</v>
      </c>
      <c r="L305" s="67">
        <f>J305*K305</f>
        <v>0</v>
      </c>
    </row>
    <row r="306" spans="1:36" s="80" customFormat="1" ht="24.95" customHeight="1" x14ac:dyDescent="0.2">
      <c r="A306" s="52" t="s">
        <v>28</v>
      </c>
      <c r="B306" s="418" t="s">
        <v>238</v>
      </c>
      <c r="C306" s="460"/>
      <c r="D306" s="51" t="s">
        <v>15</v>
      </c>
      <c r="E306" s="323">
        <f t="shared" ref="E306:F306" si="124">E300*0.5</f>
        <v>9</v>
      </c>
      <c r="F306" s="323">
        <f t="shared" si="124"/>
        <v>12.5</v>
      </c>
      <c r="G306" s="323">
        <f t="shared" ref="G306:I306" si="125">G300*0.5</f>
        <v>0</v>
      </c>
      <c r="H306" s="323">
        <f t="shared" si="125"/>
        <v>3</v>
      </c>
      <c r="I306" s="323">
        <f t="shared" si="125"/>
        <v>3.5</v>
      </c>
      <c r="J306" s="285">
        <f t="shared" si="115"/>
        <v>28</v>
      </c>
      <c r="K306" s="82">
        <v>0</v>
      </c>
      <c r="L306" s="119">
        <f t="shared" ref="L306" si="126">J306*K306</f>
        <v>0</v>
      </c>
      <c r="M306" s="136"/>
      <c r="N306" s="136"/>
      <c r="O306" s="136"/>
      <c r="P306" s="136"/>
      <c r="Q306" s="136"/>
      <c r="R306" s="136"/>
      <c r="S306" s="136"/>
      <c r="T306" s="136"/>
      <c r="U306" s="136"/>
      <c r="V306" s="136"/>
      <c r="W306" s="136"/>
      <c r="X306" s="136"/>
      <c r="Y306" s="136"/>
      <c r="Z306" s="136"/>
      <c r="AA306" s="136"/>
      <c r="AB306" s="136"/>
      <c r="AC306" s="136"/>
      <c r="AD306" s="136"/>
      <c r="AE306" s="136"/>
      <c r="AF306" s="136"/>
      <c r="AG306" s="136"/>
      <c r="AH306" s="136"/>
      <c r="AI306" s="136"/>
      <c r="AJ306" s="136"/>
    </row>
    <row r="307" spans="1:36" ht="24.95" customHeight="1" x14ac:dyDescent="0.2">
      <c r="A307" s="10" t="s">
        <v>49</v>
      </c>
      <c r="B307" s="442" t="s">
        <v>148</v>
      </c>
      <c r="C307" s="442"/>
      <c r="D307" s="10" t="s">
        <v>23</v>
      </c>
      <c r="E307" s="314">
        <f t="shared" ref="E307:I307" si="127">SUM(E308*0.00001)</f>
        <v>9.0000000000000008E-4</v>
      </c>
      <c r="F307" s="314">
        <f t="shared" si="127"/>
        <v>1.25E-3</v>
      </c>
      <c r="G307" s="314">
        <f t="shared" si="127"/>
        <v>0</v>
      </c>
      <c r="H307" s="314">
        <f t="shared" si="127"/>
        <v>3.0000000000000003E-4</v>
      </c>
      <c r="I307" s="314">
        <f t="shared" si="127"/>
        <v>3.5000000000000005E-4</v>
      </c>
      <c r="J307" s="341">
        <f t="shared" si="115"/>
        <v>2.8E-3</v>
      </c>
      <c r="K307" s="64">
        <v>0</v>
      </c>
      <c r="L307" s="67">
        <f t="shared" si="117"/>
        <v>0</v>
      </c>
    </row>
    <row r="308" spans="1:36" ht="24.95" customHeight="1" x14ac:dyDescent="0.2">
      <c r="A308" s="11" t="s">
        <v>28</v>
      </c>
      <c r="B308" s="430" t="s">
        <v>153</v>
      </c>
      <c r="C308" s="430"/>
      <c r="D308" s="11" t="s">
        <v>9</v>
      </c>
      <c r="E308" s="257">
        <f t="shared" ref="E308:F308" si="128">E300*5</f>
        <v>90</v>
      </c>
      <c r="F308" s="257">
        <f t="shared" si="128"/>
        <v>125</v>
      </c>
      <c r="G308" s="257">
        <f t="shared" ref="G308:I308" si="129">G300*5</f>
        <v>0</v>
      </c>
      <c r="H308" s="257">
        <f t="shared" si="129"/>
        <v>30</v>
      </c>
      <c r="I308" s="257">
        <f t="shared" si="129"/>
        <v>35</v>
      </c>
      <c r="J308" s="340">
        <f t="shared" si="115"/>
        <v>280</v>
      </c>
      <c r="K308" s="20">
        <v>0</v>
      </c>
      <c r="L308" s="67">
        <f t="shared" si="117"/>
        <v>0</v>
      </c>
    </row>
    <row r="309" spans="1:36" ht="24.95" customHeight="1" x14ac:dyDescent="0.2">
      <c r="A309" s="11" t="s">
        <v>49</v>
      </c>
      <c r="B309" s="485" t="s">
        <v>149</v>
      </c>
      <c r="C309" s="485"/>
      <c r="D309" s="32" t="s">
        <v>23</v>
      </c>
      <c r="E309" s="324">
        <f t="shared" ref="E309:I309" si="130">SUM(E310*0.001)</f>
        <v>1.8000000000000002E-3</v>
      </c>
      <c r="F309" s="324">
        <f t="shared" si="130"/>
        <v>2.5000000000000001E-3</v>
      </c>
      <c r="G309" s="324">
        <f t="shared" si="130"/>
        <v>0</v>
      </c>
      <c r="H309" s="324">
        <f t="shared" si="130"/>
        <v>6.0000000000000006E-4</v>
      </c>
      <c r="I309" s="324">
        <f t="shared" si="130"/>
        <v>7.000000000000001E-4</v>
      </c>
      <c r="J309" s="341">
        <f t="shared" si="115"/>
        <v>5.5999999999999999E-3</v>
      </c>
      <c r="K309" s="44">
        <v>0</v>
      </c>
      <c r="L309" s="67">
        <f t="shared" si="117"/>
        <v>0</v>
      </c>
    </row>
    <row r="310" spans="1:36" ht="24.95" customHeight="1" x14ac:dyDescent="0.2">
      <c r="A310" s="11" t="s">
        <v>28</v>
      </c>
      <c r="B310" s="408" t="s">
        <v>156</v>
      </c>
      <c r="C310" s="392"/>
      <c r="D310" s="11" t="s">
        <v>18</v>
      </c>
      <c r="E310" s="315">
        <f t="shared" ref="E310:F310" si="131">SUM(E300*0.1)</f>
        <v>1.8</v>
      </c>
      <c r="F310" s="315">
        <f t="shared" si="131"/>
        <v>2.5</v>
      </c>
      <c r="G310" s="315">
        <f t="shared" ref="G310:I310" si="132">SUM(G300*0.1)</f>
        <v>0</v>
      </c>
      <c r="H310" s="315">
        <f t="shared" si="132"/>
        <v>0.60000000000000009</v>
      </c>
      <c r="I310" s="315">
        <f t="shared" si="132"/>
        <v>0.70000000000000007</v>
      </c>
      <c r="J310" s="285">
        <f t="shared" si="115"/>
        <v>5.6000000000000005</v>
      </c>
      <c r="K310" s="20">
        <v>0</v>
      </c>
      <c r="L310" s="67">
        <f t="shared" si="117"/>
        <v>0</v>
      </c>
    </row>
    <row r="311" spans="1:36" ht="24.95" customHeight="1" x14ac:dyDescent="0.2">
      <c r="A311" s="11" t="s">
        <v>53</v>
      </c>
      <c r="B311" s="485" t="s">
        <v>54</v>
      </c>
      <c r="C311" s="485"/>
      <c r="D311" s="32" t="s">
        <v>9</v>
      </c>
      <c r="E311" s="256">
        <f t="shared" ref="E311:F311" si="133">E300</f>
        <v>18</v>
      </c>
      <c r="F311" s="256">
        <f t="shared" si="133"/>
        <v>25</v>
      </c>
      <c r="G311" s="256">
        <f t="shared" ref="G311:I311" si="134">G300</f>
        <v>0</v>
      </c>
      <c r="H311" s="256">
        <f t="shared" si="134"/>
        <v>6</v>
      </c>
      <c r="I311" s="256">
        <f t="shared" si="134"/>
        <v>7</v>
      </c>
      <c r="J311" s="285">
        <f t="shared" si="115"/>
        <v>56</v>
      </c>
      <c r="K311" s="20">
        <v>0</v>
      </c>
      <c r="L311" s="67">
        <f t="shared" si="117"/>
        <v>0</v>
      </c>
    </row>
    <row r="312" spans="1:36" ht="24.95" customHeight="1" x14ac:dyDescent="0.2">
      <c r="A312" s="11" t="s">
        <v>28</v>
      </c>
      <c r="B312" s="485" t="s">
        <v>56</v>
      </c>
      <c r="C312" s="485"/>
      <c r="D312" s="32" t="s">
        <v>9</v>
      </c>
      <c r="E312" s="256">
        <f t="shared" ref="E312:F312" si="135">E300*3</f>
        <v>54</v>
      </c>
      <c r="F312" s="256">
        <f t="shared" si="135"/>
        <v>75</v>
      </c>
      <c r="G312" s="256">
        <f t="shared" ref="G312:I312" si="136">G300*3</f>
        <v>0</v>
      </c>
      <c r="H312" s="256">
        <f t="shared" si="136"/>
        <v>18</v>
      </c>
      <c r="I312" s="256">
        <f t="shared" si="136"/>
        <v>21</v>
      </c>
      <c r="J312" s="285">
        <f t="shared" si="115"/>
        <v>168</v>
      </c>
      <c r="K312" s="20">
        <v>0</v>
      </c>
      <c r="L312" s="67">
        <f t="shared" si="117"/>
        <v>0</v>
      </c>
    </row>
    <row r="313" spans="1:36" s="5" customFormat="1" ht="24.95" customHeight="1" x14ac:dyDescent="0.2">
      <c r="A313" s="11" t="s">
        <v>28</v>
      </c>
      <c r="B313" s="403" t="s">
        <v>57</v>
      </c>
      <c r="C313" s="403"/>
      <c r="D313" s="11" t="s">
        <v>9</v>
      </c>
      <c r="E313" s="256">
        <f t="shared" ref="E313:F313" si="137">E300*3</f>
        <v>54</v>
      </c>
      <c r="F313" s="256">
        <f t="shared" si="137"/>
        <v>75</v>
      </c>
      <c r="G313" s="256">
        <f t="shared" ref="G313:I313" si="138">G300*3</f>
        <v>0</v>
      </c>
      <c r="H313" s="256">
        <f t="shared" si="138"/>
        <v>18</v>
      </c>
      <c r="I313" s="256">
        <f t="shared" si="138"/>
        <v>21</v>
      </c>
      <c r="J313" s="285">
        <f t="shared" si="115"/>
        <v>168</v>
      </c>
      <c r="K313" s="20">
        <v>0</v>
      </c>
      <c r="L313" s="67">
        <f t="shared" si="117"/>
        <v>0</v>
      </c>
      <c r="M313" s="137"/>
      <c r="N313" s="137"/>
      <c r="O313" s="137"/>
      <c r="P313" s="137"/>
      <c r="Q313" s="137"/>
      <c r="R313" s="137"/>
      <c r="S313" s="137"/>
      <c r="T313" s="137"/>
      <c r="U313" s="137"/>
      <c r="V313" s="137"/>
      <c r="W313" s="137"/>
      <c r="X313" s="137"/>
      <c r="Y313" s="137"/>
      <c r="Z313" s="137"/>
      <c r="AA313" s="137"/>
      <c r="AB313" s="137"/>
      <c r="AC313" s="137"/>
      <c r="AD313" s="137"/>
      <c r="AE313" s="137"/>
      <c r="AF313" s="137"/>
      <c r="AG313" s="137"/>
      <c r="AH313" s="137"/>
      <c r="AI313" s="137"/>
      <c r="AJ313" s="137"/>
    </row>
    <row r="314" spans="1:36" s="5" customFormat="1" ht="24.95" customHeight="1" x14ac:dyDescent="0.2">
      <c r="A314" s="11" t="s">
        <v>28</v>
      </c>
      <c r="B314" s="403" t="s">
        <v>58</v>
      </c>
      <c r="C314" s="403"/>
      <c r="D314" s="11" t="s">
        <v>9</v>
      </c>
      <c r="E314" s="256">
        <f t="shared" ref="E314:F314" si="139">E300*3</f>
        <v>54</v>
      </c>
      <c r="F314" s="256">
        <f t="shared" si="139"/>
        <v>75</v>
      </c>
      <c r="G314" s="256">
        <f t="shared" ref="G314:I314" si="140">G300*3</f>
        <v>0</v>
      </c>
      <c r="H314" s="256">
        <f t="shared" si="140"/>
        <v>18</v>
      </c>
      <c r="I314" s="256">
        <f t="shared" si="140"/>
        <v>21</v>
      </c>
      <c r="J314" s="285">
        <f t="shared" si="115"/>
        <v>168</v>
      </c>
      <c r="K314" s="20">
        <v>0</v>
      </c>
      <c r="L314" s="67">
        <f t="shared" si="117"/>
        <v>0</v>
      </c>
      <c r="M314" s="137"/>
      <c r="N314" s="137"/>
      <c r="O314" s="137"/>
      <c r="P314" s="137"/>
      <c r="Q314" s="137"/>
      <c r="R314" s="137"/>
      <c r="S314" s="137"/>
      <c r="T314" s="137"/>
      <c r="U314" s="137"/>
      <c r="V314" s="137"/>
      <c r="W314" s="137"/>
      <c r="X314" s="137"/>
      <c r="Y314" s="137"/>
      <c r="Z314" s="137"/>
      <c r="AA314" s="137"/>
      <c r="AB314" s="137"/>
      <c r="AC314" s="137"/>
      <c r="AD314" s="137"/>
      <c r="AE314" s="137"/>
      <c r="AF314" s="137"/>
      <c r="AG314" s="137"/>
      <c r="AH314" s="137"/>
      <c r="AI314" s="137"/>
      <c r="AJ314" s="137"/>
    </row>
    <row r="315" spans="1:36" ht="30" customHeight="1" x14ac:dyDescent="0.2">
      <c r="A315" s="169" t="s">
        <v>27</v>
      </c>
      <c r="B315" s="396" t="s">
        <v>382</v>
      </c>
      <c r="C315" s="396"/>
      <c r="D315" s="52" t="s">
        <v>9</v>
      </c>
      <c r="E315" s="270">
        <f>SUM(E300)</f>
        <v>18</v>
      </c>
      <c r="F315" s="270">
        <f t="shared" ref="F315:I315" si="141">SUM(F300)</f>
        <v>25</v>
      </c>
      <c r="G315" s="270">
        <f t="shared" si="141"/>
        <v>0</v>
      </c>
      <c r="H315" s="270">
        <f t="shared" si="141"/>
        <v>6</v>
      </c>
      <c r="I315" s="270">
        <f t="shared" si="141"/>
        <v>7</v>
      </c>
      <c r="J315" s="285">
        <f t="shared" si="115"/>
        <v>56</v>
      </c>
      <c r="K315" s="20">
        <v>0</v>
      </c>
      <c r="L315" s="67">
        <f t="shared" si="117"/>
        <v>0</v>
      </c>
      <c r="M315" s="1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1:36" ht="30" customHeight="1" x14ac:dyDescent="0.2">
      <c r="A316" s="169" t="s">
        <v>28</v>
      </c>
      <c r="B316" s="396" t="s">
        <v>383</v>
      </c>
      <c r="C316" s="396"/>
      <c r="D316" s="52" t="s">
        <v>9</v>
      </c>
      <c r="E316" s="270">
        <f>SUM(E300)</f>
        <v>18</v>
      </c>
      <c r="F316" s="270">
        <f t="shared" ref="F316:I316" si="142">SUM(F300)</f>
        <v>25</v>
      </c>
      <c r="G316" s="270">
        <f t="shared" si="142"/>
        <v>0</v>
      </c>
      <c r="H316" s="270">
        <f t="shared" si="142"/>
        <v>6</v>
      </c>
      <c r="I316" s="270">
        <f t="shared" si="142"/>
        <v>7</v>
      </c>
      <c r="J316" s="285">
        <f t="shared" si="115"/>
        <v>56</v>
      </c>
      <c r="K316" s="20">
        <v>0</v>
      </c>
      <c r="L316" s="67">
        <f t="shared" si="117"/>
        <v>0</v>
      </c>
      <c r="M316" s="1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1:36" ht="24.95" customHeight="1" x14ac:dyDescent="0.2">
      <c r="A317" s="11" t="s">
        <v>30</v>
      </c>
      <c r="B317" s="373" t="s">
        <v>26</v>
      </c>
      <c r="C317" s="373"/>
      <c r="D317" s="11" t="s">
        <v>14</v>
      </c>
      <c r="E317" s="315">
        <f t="shared" ref="E317:F317" si="143">SUM(E300)</f>
        <v>18</v>
      </c>
      <c r="F317" s="315">
        <f t="shared" si="143"/>
        <v>25</v>
      </c>
      <c r="G317" s="315">
        <f t="shared" ref="G317:I317" si="144">SUM(G300)</f>
        <v>0</v>
      </c>
      <c r="H317" s="315">
        <f t="shared" si="144"/>
        <v>6</v>
      </c>
      <c r="I317" s="315">
        <f t="shared" si="144"/>
        <v>7</v>
      </c>
      <c r="J317" s="285">
        <f t="shared" si="115"/>
        <v>56</v>
      </c>
      <c r="K317" s="20">
        <v>0</v>
      </c>
      <c r="L317" s="67">
        <f t="shared" si="117"/>
        <v>0</v>
      </c>
    </row>
    <row r="318" spans="1:36" ht="24.95" customHeight="1" x14ac:dyDescent="0.2">
      <c r="A318" s="11" t="s">
        <v>28</v>
      </c>
      <c r="B318" s="373" t="s">
        <v>59</v>
      </c>
      <c r="C318" s="373"/>
      <c r="D318" s="11" t="s">
        <v>14</v>
      </c>
      <c r="E318" s="315">
        <f t="shared" ref="E318:F318" si="145">SUM(E317)</f>
        <v>18</v>
      </c>
      <c r="F318" s="315">
        <f t="shared" si="145"/>
        <v>25</v>
      </c>
      <c r="G318" s="315">
        <f t="shared" ref="G318:I318" si="146">SUM(G317)</f>
        <v>0</v>
      </c>
      <c r="H318" s="315">
        <f t="shared" si="146"/>
        <v>6</v>
      </c>
      <c r="I318" s="315">
        <f t="shared" si="146"/>
        <v>7</v>
      </c>
      <c r="J318" s="285">
        <f t="shared" si="115"/>
        <v>56</v>
      </c>
      <c r="K318" s="20">
        <v>0</v>
      </c>
      <c r="L318" s="67">
        <f t="shared" si="117"/>
        <v>0</v>
      </c>
    </row>
    <row r="319" spans="1:36" ht="24.95" customHeight="1" x14ac:dyDescent="0.2">
      <c r="A319" s="11" t="s">
        <v>113</v>
      </c>
      <c r="B319" s="373" t="s">
        <v>112</v>
      </c>
      <c r="C319" s="373"/>
      <c r="D319" s="11" t="s">
        <v>14</v>
      </c>
      <c r="E319" s="315">
        <v>0</v>
      </c>
      <c r="F319" s="315">
        <f>F300</f>
        <v>25</v>
      </c>
      <c r="G319" s="315">
        <v>0</v>
      </c>
      <c r="H319" s="315">
        <v>0</v>
      </c>
      <c r="I319" s="315">
        <v>7</v>
      </c>
      <c r="J319" s="285">
        <f t="shared" si="115"/>
        <v>32</v>
      </c>
      <c r="K319" s="20">
        <v>0</v>
      </c>
      <c r="L319" s="67">
        <f t="shared" si="117"/>
        <v>0</v>
      </c>
    </row>
    <row r="320" spans="1:36" s="7" customFormat="1" ht="24.95" customHeight="1" x14ac:dyDescent="0.2">
      <c r="A320" s="11" t="s">
        <v>28</v>
      </c>
      <c r="B320" s="392" t="s">
        <v>111</v>
      </c>
      <c r="C320" s="392"/>
      <c r="D320" s="11" t="s">
        <v>9</v>
      </c>
      <c r="E320" s="257">
        <v>0</v>
      </c>
      <c r="F320" s="270">
        <f>F300</f>
        <v>25</v>
      </c>
      <c r="G320" s="257">
        <v>0</v>
      </c>
      <c r="H320" s="257">
        <v>0</v>
      </c>
      <c r="I320" s="257">
        <v>7</v>
      </c>
      <c r="J320" s="285">
        <f t="shared" si="115"/>
        <v>32</v>
      </c>
      <c r="K320" s="20">
        <v>0</v>
      </c>
      <c r="L320" s="67">
        <f t="shared" si="117"/>
        <v>0</v>
      </c>
      <c r="M320" s="138"/>
      <c r="N320" s="138"/>
      <c r="O320" s="138"/>
      <c r="P320" s="138"/>
      <c r="Q320" s="138"/>
      <c r="R320" s="138"/>
      <c r="S320" s="138"/>
      <c r="T320" s="138"/>
      <c r="U320" s="138"/>
      <c r="V320" s="138"/>
      <c r="W320" s="138"/>
      <c r="X320" s="138"/>
      <c r="Y320" s="138"/>
      <c r="Z320" s="138"/>
      <c r="AA320" s="138"/>
      <c r="AB320" s="138"/>
      <c r="AC320" s="138"/>
      <c r="AD320" s="138"/>
      <c r="AE320" s="138"/>
      <c r="AF320" s="138"/>
      <c r="AG320" s="138"/>
      <c r="AH320" s="138"/>
      <c r="AI320" s="138"/>
      <c r="AJ320" s="138"/>
    </row>
    <row r="321" spans="1:36" ht="24.95" customHeight="1" x14ac:dyDescent="0.2">
      <c r="A321" s="11" t="s">
        <v>64</v>
      </c>
      <c r="B321" s="397" t="s">
        <v>65</v>
      </c>
      <c r="C321" s="398"/>
      <c r="D321" s="11" t="s">
        <v>9</v>
      </c>
      <c r="E321" s="257">
        <v>18</v>
      </c>
      <c r="F321" s="257">
        <f t="shared" ref="F321" si="147">SUM(F301)</f>
        <v>0</v>
      </c>
      <c r="G321" s="257">
        <f t="shared" ref="G321:H321" si="148">SUM(G301)</f>
        <v>0</v>
      </c>
      <c r="H321" s="257">
        <f t="shared" si="148"/>
        <v>0</v>
      </c>
      <c r="I321" s="257">
        <v>0</v>
      </c>
      <c r="J321" s="285">
        <f t="shared" si="115"/>
        <v>18</v>
      </c>
      <c r="K321" s="20">
        <v>0</v>
      </c>
      <c r="L321" s="67">
        <f t="shared" si="117"/>
        <v>0</v>
      </c>
    </row>
    <row r="322" spans="1:36" ht="30.75" customHeight="1" x14ac:dyDescent="0.2">
      <c r="A322" s="33" t="s">
        <v>175</v>
      </c>
      <c r="B322" s="452" t="s">
        <v>176</v>
      </c>
      <c r="C322" s="453"/>
      <c r="D322" s="33" t="s">
        <v>9</v>
      </c>
      <c r="E322" s="257">
        <f t="shared" ref="E322:F322" si="149">SUM(E302)</f>
        <v>0</v>
      </c>
      <c r="F322" s="257">
        <f t="shared" si="149"/>
        <v>25</v>
      </c>
      <c r="G322" s="257">
        <f t="shared" ref="G322:I322" si="150">SUM(G302)</f>
        <v>0</v>
      </c>
      <c r="H322" s="257">
        <f t="shared" si="150"/>
        <v>6</v>
      </c>
      <c r="I322" s="257">
        <f t="shared" si="150"/>
        <v>7</v>
      </c>
      <c r="J322" s="285">
        <f t="shared" si="115"/>
        <v>38</v>
      </c>
      <c r="K322" s="20">
        <v>0</v>
      </c>
      <c r="L322" s="67">
        <f t="shared" si="117"/>
        <v>0</v>
      </c>
    </row>
    <row r="323" spans="1:36" ht="24.95" customHeight="1" x14ac:dyDescent="0.2">
      <c r="A323" s="11" t="s">
        <v>28</v>
      </c>
      <c r="B323" s="409" t="s">
        <v>216</v>
      </c>
      <c r="C323" s="373"/>
      <c r="D323" s="11" t="s">
        <v>15</v>
      </c>
      <c r="E323" s="312">
        <f t="shared" ref="E323:F323" si="151">SUM((E321+E322)*0.1)</f>
        <v>1.8</v>
      </c>
      <c r="F323" s="312">
        <f t="shared" si="151"/>
        <v>2.5</v>
      </c>
      <c r="G323" s="312">
        <f t="shared" ref="G323:I323" si="152">SUM((G321+G322)*0.1)</f>
        <v>0</v>
      </c>
      <c r="H323" s="312">
        <f t="shared" si="152"/>
        <v>0.60000000000000009</v>
      </c>
      <c r="I323" s="312">
        <f t="shared" si="152"/>
        <v>0.70000000000000007</v>
      </c>
      <c r="J323" s="285">
        <f t="shared" si="115"/>
        <v>5.6000000000000005</v>
      </c>
      <c r="K323" s="20">
        <v>0</v>
      </c>
      <c r="L323" s="67">
        <f t="shared" si="117"/>
        <v>0</v>
      </c>
    </row>
    <row r="324" spans="1:36" s="28" customFormat="1" ht="24.95" customHeight="1" x14ac:dyDescent="0.2">
      <c r="A324" s="76" t="s">
        <v>27</v>
      </c>
      <c r="B324" s="409" t="s">
        <v>239</v>
      </c>
      <c r="C324" s="373"/>
      <c r="D324" s="11" t="s">
        <v>9</v>
      </c>
      <c r="E324" s="256">
        <f t="shared" ref="E324:F324" si="153">SUM(E300)</f>
        <v>18</v>
      </c>
      <c r="F324" s="256">
        <f t="shared" si="153"/>
        <v>25</v>
      </c>
      <c r="G324" s="256">
        <f t="shared" ref="G324:I324" si="154">SUM(G300)</f>
        <v>0</v>
      </c>
      <c r="H324" s="256">
        <f t="shared" si="154"/>
        <v>6</v>
      </c>
      <c r="I324" s="256">
        <f t="shared" si="154"/>
        <v>7</v>
      </c>
      <c r="J324" s="285">
        <f t="shared" si="115"/>
        <v>56</v>
      </c>
      <c r="K324" s="20">
        <v>0</v>
      </c>
      <c r="L324" s="118">
        <f t="shared" si="117"/>
        <v>0</v>
      </c>
      <c r="M324" s="132"/>
      <c r="N324" s="132"/>
      <c r="O324" s="132"/>
      <c r="P324" s="132"/>
      <c r="Q324" s="132"/>
      <c r="R324" s="132"/>
      <c r="S324" s="132"/>
      <c r="T324" s="132"/>
      <c r="U324" s="132"/>
      <c r="V324" s="132"/>
      <c r="W324" s="132"/>
      <c r="X324" s="132"/>
      <c r="Y324" s="132"/>
      <c r="Z324" s="132"/>
      <c r="AA324" s="132"/>
      <c r="AB324" s="132"/>
      <c r="AC324" s="132"/>
      <c r="AD324" s="132"/>
      <c r="AE324" s="132"/>
      <c r="AF324" s="132"/>
      <c r="AG324" s="132"/>
      <c r="AH324" s="132"/>
      <c r="AI324" s="132"/>
      <c r="AJ324" s="132"/>
    </row>
    <row r="325" spans="1:36" s="80" customFormat="1" ht="24.95" customHeight="1" x14ac:dyDescent="0.2">
      <c r="A325" s="53" t="s">
        <v>223</v>
      </c>
      <c r="B325" s="81" t="s">
        <v>222</v>
      </c>
      <c r="C325" s="111"/>
      <c r="D325" s="52" t="s">
        <v>9</v>
      </c>
      <c r="E325" s="289">
        <f t="shared" ref="E325:F325" si="155">E301</f>
        <v>18</v>
      </c>
      <c r="F325" s="289">
        <f t="shared" si="155"/>
        <v>0</v>
      </c>
      <c r="G325" s="289">
        <f t="shared" ref="G325:I325" si="156">G301</f>
        <v>0</v>
      </c>
      <c r="H325" s="289">
        <f t="shared" si="156"/>
        <v>0</v>
      </c>
      <c r="I325" s="289">
        <f t="shared" si="156"/>
        <v>0</v>
      </c>
      <c r="J325" s="285">
        <f t="shared" si="115"/>
        <v>18</v>
      </c>
      <c r="K325" s="79">
        <v>0</v>
      </c>
      <c r="L325" s="119">
        <f t="shared" si="117"/>
        <v>0</v>
      </c>
      <c r="M325" s="136"/>
      <c r="N325" s="136"/>
      <c r="O325" s="136"/>
      <c r="P325" s="136"/>
      <c r="Q325" s="136"/>
      <c r="R325" s="136"/>
      <c r="S325" s="136"/>
      <c r="T325" s="136"/>
      <c r="U325" s="136"/>
      <c r="V325" s="136"/>
      <c r="W325" s="136"/>
      <c r="X325" s="136"/>
      <c r="Y325" s="136"/>
      <c r="Z325" s="136"/>
      <c r="AA325" s="136"/>
      <c r="AB325" s="136"/>
      <c r="AC325" s="136"/>
      <c r="AD325" s="136"/>
      <c r="AE325" s="136"/>
      <c r="AF325" s="136"/>
      <c r="AG325" s="136"/>
      <c r="AH325" s="136"/>
      <c r="AI325" s="136"/>
      <c r="AJ325" s="136"/>
    </row>
    <row r="326" spans="1:36" s="80" customFormat="1" ht="24.95" customHeight="1" x14ac:dyDescent="0.2">
      <c r="A326" s="53" t="s">
        <v>225</v>
      </c>
      <c r="B326" s="81" t="s">
        <v>224</v>
      </c>
      <c r="C326" s="111"/>
      <c r="D326" s="52" t="s">
        <v>9</v>
      </c>
      <c r="E326" s="289">
        <f t="shared" ref="E326:F326" si="157">E302</f>
        <v>0</v>
      </c>
      <c r="F326" s="289">
        <f t="shared" si="157"/>
        <v>25</v>
      </c>
      <c r="G326" s="289">
        <f t="shared" ref="G326:I326" si="158">G302</f>
        <v>0</v>
      </c>
      <c r="H326" s="289">
        <f t="shared" si="158"/>
        <v>6</v>
      </c>
      <c r="I326" s="289">
        <f t="shared" si="158"/>
        <v>7</v>
      </c>
      <c r="J326" s="285">
        <f t="shared" si="115"/>
        <v>38</v>
      </c>
      <c r="K326" s="79">
        <v>0</v>
      </c>
      <c r="L326" s="119">
        <f t="shared" si="117"/>
        <v>0</v>
      </c>
      <c r="M326" s="136"/>
      <c r="N326" s="136"/>
      <c r="O326" s="136"/>
      <c r="P326" s="136"/>
      <c r="Q326" s="136"/>
      <c r="R326" s="136"/>
      <c r="S326" s="136"/>
      <c r="T326" s="136"/>
      <c r="U326" s="136"/>
      <c r="V326" s="136"/>
      <c r="W326" s="136"/>
      <c r="X326" s="136"/>
      <c r="Y326" s="136"/>
      <c r="Z326" s="136"/>
      <c r="AA326" s="136"/>
      <c r="AB326" s="136"/>
      <c r="AC326" s="136"/>
      <c r="AD326" s="136"/>
      <c r="AE326" s="136"/>
      <c r="AF326" s="136"/>
      <c r="AG326" s="136"/>
      <c r="AH326" s="136"/>
      <c r="AI326" s="136"/>
      <c r="AJ326" s="136"/>
    </row>
    <row r="327" spans="1:36" ht="24.95" customHeight="1" x14ac:dyDescent="0.2">
      <c r="A327" s="10"/>
      <c r="B327" s="436" t="s">
        <v>414</v>
      </c>
      <c r="C327" s="436"/>
      <c r="D327" s="46" t="s">
        <v>9</v>
      </c>
      <c r="E327" s="235"/>
      <c r="F327" s="235"/>
      <c r="G327" s="235"/>
      <c r="H327" s="235"/>
      <c r="I327" s="235"/>
      <c r="J327" s="236"/>
      <c r="K327" s="123"/>
      <c r="L327" s="71">
        <f>SUM(L299:L326)</f>
        <v>0</v>
      </c>
    </row>
    <row r="328" spans="1:36" s="35" customFormat="1" ht="24.95" customHeight="1" x14ac:dyDescent="0.25">
      <c r="A328" s="369"/>
      <c r="B328" s="370" t="s">
        <v>7</v>
      </c>
      <c r="C328" s="370"/>
      <c r="D328" s="370" t="s">
        <v>194</v>
      </c>
      <c r="E328" s="371" t="s">
        <v>114</v>
      </c>
      <c r="F328" s="371"/>
      <c r="G328" s="371"/>
      <c r="H328" s="371"/>
      <c r="I328" s="371"/>
      <c r="J328" s="371"/>
      <c r="K328" s="372" t="s">
        <v>4</v>
      </c>
      <c r="L328" s="391" t="s">
        <v>115</v>
      </c>
      <c r="M328" s="130"/>
      <c r="N328" s="130"/>
      <c r="O328" s="130"/>
      <c r="P328" s="130"/>
      <c r="Q328" s="130"/>
      <c r="R328" s="130"/>
      <c r="S328" s="130"/>
      <c r="T328" s="130"/>
      <c r="U328" s="130"/>
      <c r="V328" s="130"/>
      <c r="W328" s="130"/>
      <c r="X328" s="130"/>
      <c r="Y328" s="130"/>
      <c r="Z328" s="130"/>
      <c r="AA328" s="130"/>
      <c r="AB328" s="130"/>
      <c r="AC328" s="130"/>
      <c r="AD328" s="130"/>
      <c r="AE328" s="130"/>
      <c r="AF328" s="130"/>
      <c r="AG328" s="130"/>
      <c r="AH328" s="130"/>
      <c r="AI328" s="130"/>
      <c r="AJ328" s="130"/>
    </row>
    <row r="329" spans="1:36" s="6" customFormat="1" ht="24.95" customHeight="1" x14ac:dyDescent="0.25">
      <c r="A329" s="369"/>
      <c r="B329" s="370"/>
      <c r="C329" s="370"/>
      <c r="D329" s="370"/>
      <c r="E329" s="259" t="s">
        <v>245</v>
      </c>
      <c r="F329" s="259" t="s">
        <v>246</v>
      </c>
      <c r="G329" s="259" t="s">
        <v>341</v>
      </c>
      <c r="H329" s="259" t="s">
        <v>342</v>
      </c>
      <c r="I329" s="259" t="s">
        <v>343</v>
      </c>
      <c r="J329" s="262" t="s">
        <v>8</v>
      </c>
      <c r="K329" s="372"/>
      <c r="L329" s="391"/>
      <c r="M329" s="131"/>
      <c r="N329" s="131"/>
      <c r="O329" s="131"/>
      <c r="P329" s="131"/>
      <c r="Q329" s="131"/>
      <c r="R329" s="131"/>
      <c r="S329" s="131"/>
      <c r="T329" s="131"/>
      <c r="U329" s="131"/>
      <c r="V329" s="131"/>
      <c r="W329" s="131"/>
      <c r="X329" s="131"/>
      <c r="Y329" s="131"/>
      <c r="Z329" s="131"/>
      <c r="AA329" s="131"/>
      <c r="AB329" s="131"/>
      <c r="AC329" s="131"/>
      <c r="AD329" s="131"/>
      <c r="AE329" s="131"/>
      <c r="AF329" s="131"/>
      <c r="AG329" s="131"/>
      <c r="AH329" s="131"/>
      <c r="AI329" s="131"/>
      <c r="AJ329" s="131"/>
    </row>
    <row r="330" spans="1:36" ht="24.95" customHeight="1" x14ac:dyDescent="0.2">
      <c r="A330" s="10"/>
      <c r="B330" s="435" t="s">
        <v>20</v>
      </c>
      <c r="C330" s="435"/>
      <c r="D330" s="435"/>
      <c r="E330" s="435"/>
      <c r="F330" s="435"/>
      <c r="G330" s="435"/>
      <c r="H330" s="435"/>
      <c r="I330" s="435"/>
      <c r="J330" s="435"/>
      <c r="K330" s="435"/>
      <c r="L330" s="435"/>
    </row>
    <row r="331" spans="1:36" ht="24.95" customHeight="1" x14ac:dyDescent="0.2">
      <c r="A331" s="11" t="s">
        <v>55</v>
      </c>
      <c r="B331" s="430" t="s">
        <v>32</v>
      </c>
      <c r="C331" s="431"/>
      <c r="D331" s="11" t="s">
        <v>14</v>
      </c>
      <c r="E331" s="315">
        <v>160</v>
      </c>
      <c r="F331" s="315">
        <v>1585</v>
      </c>
      <c r="G331" s="315">
        <v>17</v>
      </c>
      <c r="H331" s="315">
        <v>0</v>
      </c>
      <c r="I331" s="315">
        <v>0</v>
      </c>
      <c r="J331" s="332">
        <f t="shared" ref="J331:J346" si="159">SUM(E331:I331)</f>
        <v>1762</v>
      </c>
      <c r="K331" s="20">
        <v>0</v>
      </c>
      <c r="L331" s="67">
        <f t="shared" ref="L331:L346" si="160">K331*J331</f>
        <v>0</v>
      </c>
    </row>
    <row r="332" spans="1:36" ht="24.95" customHeight="1" x14ac:dyDescent="0.2">
      <c r="A332" s="10" t="s">
        <v>28</v>
      </c>
      <c r="B332" s="433" t="s">
        <v>159</v>
      </c>
      <c r="C332" s="433"/>
      <c r="D332" s="10" t="s">
        <v>50</v>
      </c>
      <c r="E332" s="325">
        <f t="shared" ref="E332:F332" si="161">SUM(E331*0.0008)</f>
        <v>0.128</v>
      </c>
      <c r="F332" s="325">
        <f t="shared" si="161"/>
        <v>1.268</v>
      </c>
      <c r="G332" s="325">
        <f t="shared" ref="G332:H332" si="162">SUM(G331*0.0008)</f>
        <v>1.3600000000000001E-2</v>
      </c>
      <c r="H332" s="325">
        <f t="shared" si="162"/>
        <v>0</v>
      </c>
      <c r="I332" s="325">
        <f t="shared" ref="I332" si="163">SUM(I331*0.0008)</f>
        <v>0</v>
      </c>
      <c r="J332" s="342">
        <f t="shared" si="159"/>
        <v>1.4096</v>
      </c>
      <c r="K332" s="12">
        <v>0</v>
      </c>
      <c r="L332" s="67">
        <f t="shared" si="160"/>
        <v>0</v>
      </c>
    </row>
    <row r="333" spans="1:36" ht="24.95" customHeight="1" x14ac:dyDescent="0.2">
      <c r="A333" s="10" t="s">
        <v>69</v>
      </c>
      <c r="B333" s="434" t="s">
        <v>99</v>
      </c>
      <c r="C333" s="430"/>
      <c r="D333" s="11" t="s">
        <v>14</v>
      </c>
      <c r="E333" s="315">
        <f t="shared" ref="E333:F333" si="164">SUM(E331)</f>
        <v>160</v>
      </c>
      <c r="F333" s="315">
        <f t="shared" si="164"/>
        <v>1585</v>
      </c>
      <c r="G333" s="315">
        <f t="shared" ref="G333:H333" si="165">SUM(G331)</f>
        <v>17</v>
      </c>
      <c r="H333" s="315">
        <f t="shared" si="165"/>
        <v>0</v>
      </c>
      <c r="I333" s="315">
        <f t="shared" ref="I333" si="166">SUM(I331)</f>
        <v>0</v>
      </c>
      <c r="J333" s="332">
        <f t="shared" si="159"/>
        <v>1762</v>
      </c>
      <c r="K333" s="20">
        <v>0</v>
      </c>
      <c r="L333" s="67">
        <f t="shared" si="160"/>
        <v>0</v>
      </c>
    </row>
    <row r="334" spans="1:36" ht="24.95" customHeight="1" x14ac:dyDescent="0.2">
      <c r="A334" s="11" t="s">
        <v>91</v>
      </c>
      <c r="B334" s="392" t="s">
        <v>92</v>
      </c>
      <c r="C334" s="392"/>
      <c r="D334" s="11" t="s">
        <v>14</v>
      </c>
      <c r="E334" s="315">
        <f>SUM(E331)</f>
        <v>160</v>
      </c>
      <c r="F334" s="315">
        <f>SUM(F331)</f>
        <v>1585</v>
      </c>
      <c r="G334" s="315">
        <f t="shared" ref="G334:H334" si="167">SUM(G331)</f>
        <v>17</v>
      </c>
      <c r="H334" s="315">
        <f t="shared" si="167"/>
        <v>0</v>
      </c>
      <c r="I334" s="315">
        <f t="shared" ref="I334" si="168">SUM(I331)</f>
        <v>0</v>
      </c>
      <c r="J334" s="332">
        <f t="shared" si="159"/>
        <v>1762</v>
      </c>
      <c r="K334" s="20">
        <v>0</v>
      </c>
      <c r="L334" s="67">
        <f t="shared" si="160"/>
        <v>0</v>
      </c>
    </row>
    <row r="335" spans="1:36" ht="24.95" customHeight="1" x14ac:dyDescent="0.2">
      <c r="A335" s="11" t="s">
        <v>33</v>
      </c>
      <c r="B335" s="392" t="s">
        <v>70</v>
      </c>
      <c r="C335" s="392"/>
      <c r="D335" s="11" t="s">
        <v>14</v>
      </c>
      <c r="E335" s="315">
        <f>SUM(E331)</f>
        <v>160</v>
      </c>
      <c r="F335" s="315">
        <f>SUM(F331)</f>
        <v>1585</v>
      </c>
      <c r="G335" s="315">
        <f t="shared" ref="G335:H335" si="169">SUM(G331)</f>
        <v>17</v>
      </c>
      <c r="H335" s="315">
        <f t="shared" si="169"/>
        <v>0</v>
      </c>
      <c r="I335" s="315">
        <f t="shared" ref="I335" si="170">SUM(I331)</f>
        <v>0</v>
      </c>
      <c r="J335" s="332">
        <f t="shared" si="159"/>
        <v>1762</v>
      </c>
      <c r="K335" s="20">
        <v>0</v>
      </c>
      <c r="L335" s="67">
        <f t="shared" si="160"/>
        <v>0</v>
      </c>
    </row>
    <row r="336" spans="1:36" ht="24.95" customHeight="1" x14ac:dyDescent="0.2">
      <c r="A336" s="10" t="s">
        <v>90</v>
      </c>
      <c r="B336" s="434" t="s">
        <v>177</v>
      </c>
      <c r="C336" s="430"/>
      <c r="D336" s="11" t="s">
        <v>15</v>
      </c>
      <c r="E336" s="312">
        <f>0.01*E331</f>
        <v>1.6</v>
      </c>
      <c r="F336" s="312">
        <f>0.01*F331</f>
        <v>15.85</v>
      </c>
      <c r="G336" s="312">
        <f t="shared" ref="G336:H336" si="171">0.01*G331</f>
        <v>0.17</v>
      </c>
      <c r="H336" s="312">
        <f t="shared" si="171"/>
        <v>0</v>
      </c>
      <c r="I336" s="312">
        <f t="shared" ref="I336" si="172">0.01*I331</f>
        <v>0</v>
      </c>
      <c r="J336" s="332">
        <f t="shared" si="159"/>
        <v>17.62</v>
      </c>
      <c r="K336" s="20">
        <v>0</v>
      </c>
      <c r="L336" s="67">
        <f t="shared" si="160"/>
        <v>0</v>
      </c>
    </row>
    <row r="337" spans="1:36" ht="36.75" customHeight="1" x14ac:dyDescent="0.2">
      <c r="A337" s="11" t="s">
        <v>28</v>
      </c>
      <c r="B337" s="481" t="s">
        <v>323</v>
      </c>
      <c r="C337" s="482"/>
      <c r="D337" s="22" t="s">
        <v>15</v>
      </c>
      <c r="E337" s="312">
        <f>SUM(E331*0.05*1.2)</f>
        <v>9.6</v>
      </c>
      <c r="F337" s="312">
        <f>SUM(F331*0.05*1.2)</f>
        <v>95.1</v>
      </c>
      <c r="G337" s="312">
        <f t="shared" ref="G337:H337" si="173">SUM(G331*0.05*1.2)</f>
        <v>1.02</v>
      </c>
      <c r="H337" s="312">
        <f t="shared" si="173"/>
        <v>0</v>
      </c>
      <c r="I337" s="312">
        <f t="shared" ref="I337" si="174">SUM(I331*0.05*1.2)</f>
        <v>0</v>
      </c>
      <c r="J337" s="332">
        <f t="shared" si="159"/>
        <v>105.71999999999998</v>
      </c>
      <c r="K337" s="23">
        <v>0</v>
      </c>
      <c r="L337" s="67">
        <f t="shared" si="160"/>
        <v>0</v>
      </c>
    </row>
    <row r="338" spans="1:36" ht="24.95" customHeight="1" x14ac:dyDescent="0.2">
      <c r="A338" s="11" t="s">
        <v>27</v>
      </c>
      <c r="B338" s="451" t="s">
        <v>93</v>
      </c>
      <c r="C338" s="451"/>
      <c r="D338" s="24" t="s">
        <v>15</v>
      </c>
      <c r="E338" s="312">
        <f t="shared" ref="E338:F338" si="175">SUM(E337)</f>
        <v>9.6</v>
      </c>
      <c r="F338" s="312">
        <f t="shared" si="175"/>
        <v>95.1</v>
      </c>
      <c r="G338" s="312">
        <f t="shared" ref="G338:H338" si="176">SUM(G337)</f>
        <v>1.02</v>
      </c>
      <c r="H338" s="312">
        <f t="shared" si="176"/>
        <v>0</v>
      </c>
      <c r="I338" s="312">
        <f t="shared" ref="I338" si="177">SUM(I337)</f>
        <v>0</v>
      </c>
      <c r="J338" s="332">
        <f t="shared" si="159"/>
        <v>105.71999999999998</v>
      </c>
      <c r="K338" s="25">
        <v>0</v>
      </c>
      <c r="L338" s="67">
        <f t="shared" si="160"/>
        <v>0</v>
      </c>
    </row>
    <row r="339" spans="1:36" ht="24.95" customHeight="1" x14ac:dyDescent="0.2">
      <c r="A339" s="19" t="s">
        <v>94</v>
      </c>
      <c r="B339" s="431" t="s">
        <v>95</v>
      </c>
      <c r="C339" s="431"/>
      <c r="D339" s="19" t="s">
        <v>14</v>
      </c>
      <c r="E339" s="315">
        <f t="shared" ref="E339:F339" si="178">SUM(E331)</f>
        <v>160</v>
      </c>
      <c r="F339" s="315">
        <f t="shared" si="178"/>
        <v>1585</v>
      </c>
      <c r="G339" s="315">
        <f t="shared" ref="G339:H339" si="179">SUM(G331)</f>
        <v>17</v>
      </c>
      <c r="H339" s="315">
        <f t="shared" si="179"/>
        <v>0</v>
      </c>
      <c r="I339" s="315">
        <f t="shared" ref="I339" si="180">SUM(I331)</f>
        <v>0</v>
      </c>
      <c r="J339" s="332">
        <f t="shared" si="159"/>
        <v>1762</v>
      </c>
      <c r="K339" s="23">
        <v>0</v>
      </c>
      <c r="L339" s="67">
        <f t="shared" si="160"/>
        <v>0</v>
      </c>
    </row>
    <row r="340" spans="1:36" ht="24.95" customHeight="1" x14ac:dyDescent="0.2">
      <c r="A340" s="11" t="s">
        <v>33</v>
      </c>
      <c r="B340" s="392" t="s">
        <v>70</v>
      </c>
      <c r="C340" s="392"/>
      <c r="D340" s="11" t="s">
        <v>14</v>
      </c>
      <c r="E340" s="315">
        <f t="shared" ref="E340:F340" si="181">SUM(E331)</f>
        <v>160</v>
      </c>
      <c r="F340" s="315">
        <f t="shared" si="181"/>
        <v>1585</v>
      </c>
      <c r="G340" s="315">
        <f t="shared" ref="G340:H340" si="182">SUM(G331)</f>
        <v>17</v>
      </c>
      <c r="H340" s="315">
        <f t="shared" si="182"/>
        <v>0</v>
      </c>
      <c r="I340" s="315">
        <f t="shared" ref="I340" si="183">SUM(I331)</f>
        <v>0</v>
      </c>
      <c r="J340" s="332">
        <f t="shared" si="159"/>
        <v>1762</v>
      </c>
      <c r="K340" s="20">
        <v>0</v>
      </c>
      <c r="L340" s="67">
        <f t="shared" si="160"/>
        <v>0</v>
      </c>
    </row>
    <row r="341" spans="1:36" ht="24.95" customHeight="1" x14ac:dyDescent="0.2">
      <c r="A341" s="39" t="s">
        <v>143</v>
      </c>
      <c r="B341" s="402" t="s">
        <v>142</v>
      </c>
      <c r="C341" s="403"/>
      <c r="D341" s="39" t="s">
        <v>14</v>
      </c>
      <c r="E341" s="326">
        <f t="shared" ref="E341:F341" si="184">SUM(E331)</f>
        <v>160</v>
      </c>
      <c r="F341" s="326">
        <f t="shared" si="184"/>
        <v>1585</v>
      </c>
      <c r="G341" s="326">
        <f t="shared" ref="G341:H341" si="185">SUM(G331)</f>
        <v>17</v>
      </c>
      <c r="H341" s="326">
        <f t="shared" si="185"/>
        <v>0</v>
      </c>
      <c r="I341" s="326">
        <f t="shared" ref="I341" si="186">SUM(I331)</f>
        <v>0</v>
      </c>
      <c r="J341" s="332">
        <f t="shared" si="159"/>
        <v>1762</v>
      </c>
      <c r="K341" s="45">
        <v>0</v>
      </c>
      <c r="L341" s="67">
        <f t="shared" si="160"/>
        <v>0</v>
      </c>
    </row>
    <row r="342" spans="1:36" ht="24.95" customHeight="1" x14ac:dyDescent="0.2">
      <c r="A342" s="11" t="s">
        <v>28</v>
      </c>
      <c r="B342" s="403" t="s">
        <v>102</v>
      </c>
      <c r="C342" s="403"/>
      <c r="D342" s="11" t="s">
        <v>18</v>
      </c>
      <c r="E342" s="325">
        <f t="shared" ref="E342:F342" si="187">SUM(E341*250/10000)</f>
        <v>4</v>
      </c>
      <c r="F342" s="325">
        <f t="shared" si="187"/>
        <v>39.625</v>
      </c>
      <c r="G342" s="325">
        <f t="shared" ref="G342:H342" si="188">SUM(G341*250/10000)</f>
        <v>0.42499999999999999</v>
      </c>
      <c r="H342" s="325">
        <f t="shared" si="188"/>
        <v>0</v>
      </c>
      <c r="I342" s="325">
        <f t="shared" ref="I342" si="189">SUM(I341*250/10000)</f>
        <v>0</v>
      </c>
      <c r="J342" s="332">
        <f t="shared" si="159"/>
        <v>44.05</v>
      </c>
      <c r="K342" s="20">
        <v>0</v>
      </c>
      <c r="L342" s="67">
        <f t="shared" si="160"/>
        <v>0</v>
      </c>
    </row>
    <row r="343" spans="1:36" ht="24.95" customHeight="1" x14ac:dyDescent="0.2">
      <c r="A343" s="11" t="s">
        <v>31</v>
      </c>
      <c r="B343" s="373" t="s">
        <v>22</v>
      </c>
      <c r="C343" s="373"/>
      <c r="D343" s="11" t="s">
        <v>23</v>
      </c>
      <c r="E343" s="314">
        <f t="shared" ref="E343:I343" si="190">SUM(E344*0.001)</f>
        <v>4.7999999999999996E-3</v>
      </c>
      <c r="F343" s="314">
        <f t="shared" si="190"/>
        <v>4.7549999999999995E-2</v>
      </c>
      <c r="G343" s="314">
        <f t="shared" si="190"/>
        <v>5.1000000000000004E-4</v>
      </c>
      <c r="H343" s="314">
        <f t="shared" si="190"/>
        <v>0</v>
      </c>
      <c r="I343" s="314">
        <f t="shared" si="190"/>
        <v>0</v>
      </c>
      <c r="J343" s="332">
        <f t="shared" si="159"/>
        <v>5.285999999999999E-2</v>
      </c>
      <c r="K343" s="44">
        <v>0</v>
      </c>
      <c r="L343" s="67">
        <f t="shared" si="160"/>
        <v>0</v>
      </c>
    </row>
    <row r="344" spans="1:36" ht="24.95" customHeight="1" x14ac:dyDescent="0.2">
      <c r="A344" s="39" t="s">
        <v>28</v>
      </c>
      <c r="B344" s="403" t="s">
        <v>103</v>
      </c>
      <c r="C344" s="403"/>
      <c r="D344" s="39" t="s">
        <v>18</v>
      </c>
      <c r="E344" s="326">
        <f t="shared" ref="E344:F344" si="191">SUM(E341*0.03)</f>
        <v>4.8</v>
      </c>
      <c r="F344" s="326">
        <f t="shared" si="191"/>
        <v>47.55</v>
      </c>
      <c r="G344" s="326">
        <f t="shared" ref="G344:H344" si="192">SUM(G341*0.03)</f>
        <v>0.51</v>
      </c>
      <c r="H344" s="326">
        <f t="shared" si="192"/>
        <v>0</v>
      </c>
      <c r="I344" s="326">
        <f t="shared" ref="I344" si="193">SUM(I341*0.03)</f>
        <v>0</v>
      </c>
      <c r="J344" s="332">
        <f t="shared" si="159"/>
        <v>52.859999999999992</v>
      </c>
      <c r="K344" s="45">
        <v>0</v>
      </c>
      <c r="L344" s="67">
        <f t="shared" si="160"/>
        <v>0</v>
      </c>
    </row>
    <row r="345" spans="1:36" ht="24.95" customHeight="1" x14ac:dyDescent="0.2">
      <c r="A345" s="39" t="s">
        <v>68</v>
      </c>
      <c r="B345" s="430" t="s">
        <v>96</v>
      </c>
      <c r="C345" s="430"/>
      <c r="D345" s="39" t="s">
        <v>14</v>
      </c>
      <c r="E345" s="326">
        <f t="shared" ref="E345:F345" si="194">SUM(E341*3)</f>
        <v>480</v>
      </c>
      <c r="F345" s="326">
        <f t="shared" si="194"/>
        <v>4755</v>
      </c>
      <c r="G345" s="326">
        <f t="shared" ref="G345:H345" si="195">SUM(G341*3)</f>
        <v>51</v>
      </c>
      <c r="H345" s="326">
        <f t="shared" si="195"/>
        <v>0</v>
      </c>
      <c r="I345" s="326">
        <f t="shared" ref="I345" si="196">SUM(I341*3)</f>
        <v>0</v>
      </c>
      <c r="J345" s="332">
        <f t="shared" si="159"/>
        <v>5286</v>
      </c>
      <c r="K345" s="45">
        <v>0</v>
      </c>
      <c r="L345" s="67">
        <f t="shared" si="160"/>
        <v>0</v>
      </c>
    </row>
    <row r="346" spans="1:36" s="80" customFormat="1" ht="24.95" customHeight="1" x14ac:dyDescent="0.2">
      <c r="A346" s="78" t="s">
        <v>27</v>
      </c>
      <c r="B346" s="424" t="s">
        <v>420</v>
      </c>
      <c r="C346" s="425"/>
      <c r="D346" s="78" t="s">
        <v>23</v>
      </c>
      <c r="E346" s="310">
        <f>E331*0.001</f>
        <v>0.16</v>
      </c>
      <c r="F346" s="310">
        <f>F331*0.001</f>
        <v>1.585</v>
      </c>
      <c r="G346" s="310">
        <f t="shared" ref="G346:H346" si="197">G331*0.001</f>
        <v>1.7000000000000001E-2</v>
      </c>
      <c r="H346" s="310">
        <f t="shared" si="197"/>
        <v>0</v>
      </c>
      <c r="I346" s="310">
        <f t="shared" ref="I346" si="198">I331*0.001</f>
        <v>0</v>
      </c>
      <c r="J346" s="332">
        <f t="shared" si="159"/>
        <v>1.7619999999999998</v>
      </c>
      <c r="K346" s="79">
        <v>0</v>
      </c>
      <c r="L346" s="119">
        <f t="shared" si="160"/>
        <v>0</v>
      </c>
      <c r="M346" s="136"/>
      <c r="N346" s="136"/>
      <c r="O346" s="136"/>
      <c r="P346" s="136"/>
      <c r="Q346" s="136"/>
      <c r="R346" s="136"/>
      <c r="S346" s="136"/>
      <c r="T346" s="136"/>
      <c r="U346" s="136"/>
      <c r="V346" s="136"/>
      <c r="W346" s="136"/>
      <c r="X346" s="136"/>
      <c r="Y346" s="136"/>
      <c r="Z346" s="136"/>
      <c r="AA346" s="136"/>
      <c r="AB346" s="136"/>
      <c r="AC346" s="136"/>
      <c r="AD346" s="136"/>
      <c r="AE346" s="136"/>
      <c r="AF346" s="136"/>
      <c r="AG346" s="136"/>
      <c r="AH346" s="136"/>
      <c r="AI346" s="136"/>
      <c r="AJ346" s="136"/>
    </row>
    <row r="347" spans="1:36" ht="24.95" customHeight="1" x14ac:dyDescent="0.2">
      <c r="A347" s="124"/>
      <c r="B347" s="436" t="s">
        <v>21</v>
      </c>
      <c r="C347" s="436"/>
      <c r="D347" s="46"/>
      <c r="E347" s="235"/>
      <c r="F347" s="235"/>
      <c r="G347" s="329"/>
      <c r="H347" s="235"/>
      <c r="I347" s="235"/>
      <c r="J347" s="236"/>
      <c r="K347" s="123"/>
      <c r="L347" s="71">
        <f>SUM(L331:L346)</f>
        <v>0</v>
      </c>
    </row>
    <row r="348" spans="1:36" s="35" customFormat="1" ht="24.95" customHeight="1" x14ac:dyDescent="0.25">
      <c r="A348" s="369"/>
      <c r="B348" s="370" t="s">
        <v>7</v>
      </c>
      <c r="C348" s="370"/>
      <c r="D348" s="370" t="s">
        <v>194</v>
      </c>
      <c r="E348" s="371" t="s">
        <v>114</v>
      </c>
      <c r="F348" s="371"/>
      <c r="G348" s="371"/>
      <c r="H348" s="371"/>
      <c r="I348" s="371"/>
      <c r="J348" s="371"/>
      <c r="K348" s="372" t="s">
        <v>4</v>
      </c>
      <c r="L348" s="391" t="s">
        <v>115</v>
      </c>
      <c r="M348" s="130"/>
      <c r="N348" s="130"/>
      <c r="O348" s="130"/>
      <c r="P348" s="130"/>
      <c r="Q348" s="130"/>
      <c r="R348" s="130"/>
      <c r="S348" s="130"/>
      <c r="T348" s="130"/>
      <c r="U348" s="130"/>
      <c r="V348" s="130"/>
      <c r="W348" s="130"/>
      <c r="X348" s="130"/>
      <c r="Y348" s="130"/>
      <c r="Z348" s="130"/>
      <c r="AA348" s="130"/>
      <c r="AB348" s="130"/>
      <c r="AC348" s="130"/>
      <c r="AD348" s="130"/>
      <c r="AE348" s="130"/>
      <c r="AF348" s="130"/>
      <c r="AG348" s="130"/>
      <c r="AH348" s="130"/>
      <c r="AI348" s="130"/>
      <c r="AJ348" s="130"/>
    </row>
    <row r="349" spans="1:36" s="6" customFormat="1" ht="24.95" customHeight="1" x14ac:dyDescent="0.25">
      <c r="A349" s="369"/>
      <c r="B349" s="370"/>
      <c r="C349" s="370"/>
      <c r="D349" s="370"/>
      <c r="E349" s="259" t="s">
        <v>245</v>
      </c>
      <c r="F349" s="259" t="s">
        <v>246</v>
      </c>
      <c r="G349" s="259" t="s">
        <v>341</v>
      </c>
      <c r="H349" s="259" t="s">
        <v>342</v>
      </c>
      <c r="I349" s="259" t="s">
        <v>343</v>
      </c>
      <c r="J349" s="262" t="s">
        <v>8</v>
      </c>
      <c r="K349" s="372"/>
      <c r="L349" s="391"/>
      <c r="M349" s="131"/>
      <c r="N349" s="131"/>
      <c r="O349" s="131"/>
      <c r="P349" s="131"/>
      <c r="Q349" s="131"/>
      <c r="R349" s="131"/>
      <c r="S349" s="131"/>
      <c r="T349" s="131"/>
      <c r="U349" s="131"/>
      <c r="V349" s="131"/>
      <c r="W349" s="131"/>
      <c r="X349" s="131"/>
      <c r="Y349" s="131"/>
      <c r="Z349" s="131"/>
      <c r="AA349" s="131"/>
      <c r="AB349" s="131"/>
      <c r="AC349" s="131"/>
      <c r="AD349" s="131"/>
      <c r="AE349" s="131"/>
      <c r="AF349" s="131"/>
      <c r="AG349" s="131"/>
      <c r="AH349" s="131"/>
      <c r="AI349" s="131"/>
      <c r="AJ349" s="131"/>
    </row>
    <row r="350" spans="1:36" ht="24.95" customHeight="1" x14ac:dyDescent="0.2">
      <c r="A350" s="124"/>
      <c r="B350" s="435" t="s">
        <v>172</v>
      </c>
      <c r="C350" s="435"/>
      <c r="D350" s="435"/>
      <c r="E350" s="435"/>
      <c r="F350" s="435"/>
      <c r="G350" s="435"/>
      <c r="H350" s="435"/>
      <c r="I350" s="435"/>
      <c r="J350" s="435"/>
      <c r="K350" s="435"/>
      <c r="L350" s="435"/>
    </row>
    <row r="351" spans="1:36" ht="24.95" customHeight="1" x14ac:dyDescent="0.2">
      <c r="A351" s="11" t="s">
        <v>55</v>
      </c>
      <c r="B351" s="430" t="s">
        <v>32</v>
      </c>
      <c r="C351" s="431"/>
      <c r="D351" s="11" t="s">
        <v>14</v>
      </c>
      <c r="E351" s="315">
        <v>0</v>
      </c>
      <c r="F351" s="315">
        <f>1713*1.2</f>
        <v>2055.6</v>
      </c>
      <c r="G351" s="315">
        <v>120</v>
      </c>
      <c r="H351" s="315">
        <v>0</v>
      </c>
      <c r="I351" s="315">
        <v>0</v>
      </c>
      <c r="J351" s="332">
        <f t="shared" ref="J351:J363" si="199">SUM(E351:I351)</f>
        <v>2175.6</v>
      </c>
      <c r="K351" s="20">
        <v>0</v>
      </c>
      <c r="L351" s="67">
        <f t="shared" ref="L351:L363" si="200">K351*J351</f>
        <v>0</v>
      </c>
    </row>
    <row r="352" spans="1:36" ht="24.95" customHeight="1" x14ac:dyDescent="0.2">
      <c r="A352" s="11" t="s">
        <v>28</v>
      </c>
      <c r="B352" s="430" t="s">
        <v>100</v>
      </c>
      <c r="C352" s="430"/>
      <c r="D352" s="11" t="s">
        <v>50</v>
      </c>
      <c r="E352" s="325">
        <f t="shared" ref="E352:F352" si="201">SUM(E351*0.0008)</f>
        <v>0</v>
      </c>
      <c r="F352" s="325">
        <f t="shared" si="201"/>
        <v>1.6444799999999999</v>
      </c>
      <c r="G352" s="325">
        <f t="shared" ref="G352:I352" si="202">SUM(G351*0.0008)</f>
        <v>9.6000000000000002E-2</v>
      </c>
      <c r="H352" s="325">
        <f t="shared" si="202"/>
        <v>0</v>
      </c>
      <c r="I352" s="325">
        <f t="shared" si="202"/>
        <v>0</v>
      </c>
      <c r="J352" s="332">
        <f t="shared" si="199"/>
        <v>1.74048</v>
      </c>
      <c r="K352" s="20">
        <v>0</v>
      </c>
      <c r="L352" s="67">
        <f t="shared" si="200"/>
        <v>0</v>
      </c>
    </row>
    <row r="353" spans="1:36" ht="24.95" customHeight="1" x14ac:dyDescent="0.2">
      <c r="A353" s="11" t="s">
        <v>69</v>
      </c>
      <c r="B353" s="434" t="s">
        <v>99</v>
      </c>
      <c r="C353" s="430"/>
      <c r="D353" s="11" t="s">
        <v>14</v>
      </c>
      <c r="E353" s="315">
        <f t="shared" ref="E353:F353" si="203">SUM(E351)</f>
        <v>0</v>
      </c>
      <c r="F353" s="315">
        <f t="shared" si="203"/>
        <v>2055.6</v>
      </c>
      <c r="G353" s="315">
        <f t="shared" ref="G353:I353" si="204">SUM(G351)</f>
        <v>120</v>
      </c>
      <c r="H353" s="315">
        <f t="shared" si="204"/>
        <v>0</v>
      </c>
      <c r="I353" s="315">
        <f t="shared" si="204"/>
        <v>0</v>
      </c>
      <c r="J353" s="332">
        <f t="shared" si="199"/>
        <v>2175.6</v>
      </c>
      <c r="K353" s="20">
        <v>0</v>
      </c>
      <c r="L353" s="67">
        <f t="shared" si="200"/>
        <v>0</v>
      </c>
    </row>
    <row r="354" spans="1:36" ht="24.95" customHeight="1" x14ac:dyDescent="0.2">
      <c r="A354" s="11" t="s">
        <v>91</v>
      </c>
      <c r="B354" s="108" t="s">
        <v>92</v>
      </c>
      <c r="C354" s="108"/>
      <c r="D354" s="11" t="s">
        <v>14</v>
      </c>
      <c r="E354" s="315">
        <f t="shared" ref="E354:F354" si="205">SUM(E351)</f>
        <v>0</v>
      </c>
      <c r="F354" s="315">
        <f t="shared" si="205"/>
        <v>2055.6</v>
      </c>
      <c r="G354" s="315">
        <f t="shared" ref="G354:I354" si="206">SUM(G351)</f>
        <v>120</v>
      </c>
      <c r="H354" s="315">
        <f t="shared" si="206"/>
        <v>0</v>
      </c>
      <c r="I354" s="315">
        <f t="shared" si="206"/>
        <v>0</v>
      </c>
      <c r="J354" s="332">
        <f t="shared" si="199"/>
        <v>2175.6</v>
      </c>
      <c r="K354" s="20">
        <v>0</v>
      </c>
      <c r="L354" s="67">
        <f t="shared" si="200"/>
        <v>0</v>
      </c>
    </row>
    <row r="355" spans="1:36" ht="24.95" customHeight="1" x14ac:dyDescent="0.2">
      <c r="A355" s="11" t="s">
        <v>33</v>
      </c>
      <c r="B355" s="392" t="s">
        <v>70</v>
      </c>
      <c r="C355" s="392"/>
      <c r="D355" s="11" t="s">
        <v>14</v>
      </c>
      <c r="E355" s="315">
        <f t="shared" ref="E355:F355" si="207">SUM(E351)</f>
        <v>0</v>
      </c>
      <c r="F355" s="315">
        <f t="shared" si="207"/>
        <v>2055.6</v>
      </c>
      <c r="G355" s="315">
        <f t="shared" ref="G355:I355" si="208">SUM(G351)</f>
        <v>120</v>
      </c>
      <c r="H355" s="315">
        <f t="shared" si="208"/>
        <v>0</v>
      </c>
      <c r="I355" s="315">
        <f t="shared" si="208"/>
        <v>0</v>
      </c>
      <c r="J355" s="332">
        <f t="shared" si="199"/>
        <v>2175.6</v>
      </c>
      <c r="K355" s="20">
        <v>0</v>
      </c>
      <c r="L355" s="67">
        <f t="shared" si="200"/>
        <v>0</v>
      </c>
    </row>
    <row r="356" spans="1:36" ht="24.95" customHeight="1" x14ac:dyDescent="0.2">
      <c r="A356" s="11" t="s">
        <v>90</v>
      </c>
      <c r="B356" s="434" t="s">
        <v>177</v>
      </c>
      <c r="C356" s="430"/>
      <c r="D356" s="11" t="s">
        <v>15</v>
      </c>
      <c r="E356" s="312">
        <f t="shared" ref="E356:F356" si="209">E351*0.01</f>
        <v>0</v>
      </c>
      <c r="F356" s="312">
        <f t="shared" si="209"/>
        <v>20.556000000000001</v>
      </c>
      <c r="G356" s="312">
        <f t="shared" ref="G356:I356" si="210">G351*0.01</f>
        <v>1.2</v>
      </c>
      <c r="H356" s="312">
        <f t="shared" si="210"/>
        <v>0</v>
      </c>
      <c r="I356" s="312">
        <f t="shared" si="210"/>
        <v>0</v>
      </c>
      <c r="J356" s="332">
        <f t="shared" si="199"/>
        <v>21.756</v>
      </c>
      <c r="K356" s="20">
        <v>0</v>
      </c>
      <c r="L356" s="67">
        <f t="shared" si="200"/>
        <v>0</v>
      </c>
    </row>
    <row r="357" spans="1:36" ht="24.95" customHeight="1" x14ac:dyDescent="0.2">
      <c r="A357" s="47" t="s">
        <v>179</v>
      </c>
      <c r="B357" s="402" t="s">
        <v>178</v>
      </c>
      <c r="C357" s="403"/>
      <c r="D357" s="39" t="s">
        <v>14</v>
      </c>
      <c r="E357" s="315">
        <f t="shared" ref="E357:F357" si="211">SUM(E351)</f>
        <v>0</v>
      </c>
      <c r="F357" s="315">
        <f t="shared" si="211"/>
        <v>2055.6</v>
      </c>
      <c r="G357" s="315">
        <f t="shared" ref="G357:I357" si="212">SUM(G351)</f>
        <v>120</v>
      </c>
      <c r="H357" s="315">
        <f t="shared" si="212"/>
        <v>0</v>
      </c>
      <c r="I357" s="315">
        <f t="shared" si="212"/>
        <v>0</v>
      </c>
      <c r="J357" s="332">
        <f t="shared" si="199"/>
        <v>2175.6</v>
      </c>
      <c r="K357" s="45">
        <v>0</v>
      </c>
      <c r="L357" s="67">
        <f t="shared" si="200"/>
        <v>0</v>
      </c>
    </row>
    <row r="358" spans="1:36" ht="24.95" customHeight="1" x14ac:dyDescent="0.2">
      <c r="A358" s="11" t="s">
        <v>28</v>
      </c>
      <c r="B358" s="402" t="s">
        <v>244</v>
      </c>
      <c r="C358" s="403"/>
      <c r="D358" s="11" t="s">
        <v>18</v>
      </c>
      <c r="E358" s="327">
        <f t="shared" ref="E358:I358" si="213">0*0.006</f>
        <v>0</v>
      </c>
      <c r="F358" s="327">
        <f>2055.6*0.012</f>
        <v>24.667200000000001</v>
      </c>
      <c r="G358" s="327">
        <f>120*0.012</f>
        <v>1.44</v>
      </c>
      <c r="H358" s="327">
        <f t="shared" si="213"/>
        <v>0</v>
      </c>
      <c r="I358" s="327">
        <f t="shared" si="213"/>
        <v>0</v>
      </c>
      <c r="J358" s="332">
        <f t="shared" si="199"/>
        <v>26.107200000000002</v>
      </c>
      <c r="K358" s="45">
        <v>0</v>
      </c>
      <c r="L358" s="67">
        <f t="shared" si="200"/>
        <v>0</v>
      </c>
    </row>
    <row r="359" spans="1:36" ht="24.95" customHeight="1" x14ac:dyDescent="0.2">
      <c r="A359" s="39" t="s">
        <v>169</v>
      </c>
      <c r="B359" s="430" t="s">
        <v>170</v>
      </c>
      <c r="C359" s="430"/>
      <c r="D359" s="39" t="s">
        <v>14</v>
      </c>
      <c r="E359" s="315">
        <f t="shared" ref="E359:F359" si="214">SUM(E351)</f>
        <v>0</v>
      </c>
      <c r="F359" s="315">
        <f t="shared" si="214"/>
        <v>2055.6</v>
      </c>
      <c r="G359" s="315">
        <f t="shared" ref="G359:I359" si="215">SUM(G351)</f>
        <v>120</v>
      </c>
      <c r="H359" s="315">
        <f t="shared" si="215"/>
        <v>0</v>
      </c>
      <c r="I359" s="315">
        <f t="shared" si="215"/>
        <v>0</v>
      </c>
      <c r="J359" s="332">
        <f t="shared" si="199"/>
        <v>2175.6</v>
      </c>
      <c r="K359" s="45">
        <v>0</v>
      </c>
      <c r="L359" s="67">
        <f t="shared" si="200"/>
        <v>0</v>
      </c>
    </row>
    <row r="360" spans="1:36" ht="32.25" customHeight="1" x14ac:dyDescent="0.2">
      <c r="A360" s="11" t="s">
        <v>180</v>
      </c>
      <c r="B360" s="430" t="s">
        <v>325</v>
      </c>
      <c r="C360" s="431"/>
      <c r="D360" s="11" t="s">
        <v>14</v>
      </c>
      <c r="E360" s="315">
        <v>0</v>
      </c>
      <c r="F360" s="315">
        <f>F351</f>
        <v>2055.6</v>
      </c>
      <c r="G360" s="315">
        <f>G351</f>
        <v>120</v>
      </c>
      <c r="H360" s="315">
        <v>0</v>
      </c>
      <c r="I360" s="315">
        <v>0</v>
      </c>
      <c r="J360" s="332">
        <f t="shared" si="199"/>
        <v>2175.6</v>
      </c>
      <c r="K360" s="20">
        <v>0</v>
      </c>
      <c r="L360" s="67">
        <f t="shared" si="200"/>
        <v>0</v>
      </c>
    </row>
    <row r="361" spans="1:36" ht="24.95" customHeight="1" x14ac:dyDescent="0.2">
      <c r="A361" s="39" t="s">
        <v>28</v>
      </c>
      <c r="B361" s="430" t="s">
        <v>326</v>
      </c>
      <c r="C361" s="430"/>
      <c r="D361" s="11" t="s">
        <v>18</v>
      </c>
      <c r="E361" s="315">
        <f t="shared" ref="E361" si="216">SUM(E359*250/10000)</f>
        <v>0</v>
      </c>
      <c r="F361" s="315">
        <f>SUM(F359*250/10000)</f>
        <v>51.39</v>
      </c>
      <c r="G361" s="315">
        <f>SUM(G359*250/10000)</f>
        <v>3</v>
      </c>
      <c r="H361" s="315">
        <f t="shared" ref="H361:I361" si="217">SUM(H359*250/10000)</f>
        <v>0</v>
      </c>
      <c r="I361" s="315">
        <f t="shared" si="217"/>
        <v>0</v>
      </c>
      <c r="J361" s="332">
        <f t="shared" si="199"/>
        <v>54.39</v>
      </c>
      <c r="K361" s="20">
        <v>0</v>
      </c>
      <c r="L361" s="67">
        <f t="shared" si="200"/>
        <v>0</v>
      </c>
    </row>
    <row r="362" spans="1:36" ht="24.95" customHeight="1" x14ac:dyDescent="0.2">
      <c r="A362" s="47" t="s">
        <v>183</v>
      </c>
      <c r="B362" s="434" t="s">
        <v>182</v>
      </c>
      <c r="C362" s="430"/>
      <c r="D362" s="39" t="s">
        <v>14</v>
      </c>
      <c r="E362" s="326">
        <f t="shared" ref="E362:F362" si="218">SUM(E351)</f>
        <v>0</v>
      </c>
      <c r="F362" s="326">
        <f t="shared" si="218"/>
        <v>2055.6</v>
      </c>
      <c r="G362" s="326">
        <f t="shared" ref="G362:I362" si="219">SUM(G351)</f>
        <v>120</v>
      </c>
      <c r="H362" s="326">
        <f t="shared" si="219"/>
        <v>0</v>
      </c>
      <c r="I362" s="326">
        <f t="shared" si="219"/>
        <v>0</v>
      </c>
      <c r="J362" s="332">
        <f t="shared" si="199"/>
        <v>2175.6</v>
      </c>
      <c r="K362" s="45">
        <v>0</v>
      </c>
      <c r="L362" s="67">
        <f t="shared" si="200"/>
        <v>0</v>
      </c>
    </row>
    <row r="363" spans="1:36" s="80" customFormat="1" ht="24.95" customHeight="1" x14ac:dyDescent="0.2">
      <c r="A363" s="78" t="s">
        <v>27</v>
      </c>
      <c r="B363" s="424" t="s">
        <v>420</v>
      </c>
      <c r="C363" s="425"/>
      <c r="D363" s="78" t="s">
        <v>23</v>
      </c>
      <c r="E363" s="310">
        <f t="shared" ref="E363:I363" si="220">E351*0.001</f>
        <v>0</v>
      </c>
      <c r="F363" s="310">
        <f t="shared" si="220"/>
        <v>2.0556000000000001</v>
      </c>
      <c r="G363" s="310">
        <f t="shared" si="220"/>
        <v>0.12</v>
      </c>
      <c r="H363" s="310">
        <f t="shared" si="220"/>
        <v>0</v>
      </c>
      <c r="I363" s="310">
        <f t="shared" si="220"/>
        <v>0</v>
      </c>
      <c r="J363" s="332">
        <f t="shared" si="199"/>
        <v>2.1756000000000002</v>
      </c>
      <c r="K363" s="79">
        <v>0</v>
      </c>
      <c r="L363" s="119">
        <f t="shared" si="200"/>
        <v>0</v>
      </c>
      <c r="M363" s="136"/>
      <c r="N363" s="136"/>
      <c r="O363" s="136"/>
      <c r="P363" s="136"/>
      <c r="Q363" s="136"/>
      <c r="R363" s="136"/>
      <c r="S363" s="136"/>
      <c r="T363" s="136"/>
      <c r="U363" s="136"/>
      <c r="V363" s="136"/>
      <c r="W363" s="136"/>
      <c r="X363" s="136"/>
      <c r="Y363" s="136"/>
      <c r="Z363" s="136"/>
      <c r="AA363" s="136"/>
      <c r="AB363" s="136"/>
      <c r="AC363" s="136"/>
      <c r="AD363" s="136"/>
      <c r="AE363" s="136"/>
      <c r="AF363" s="136"/>
      <c r="AG363" s="136"/>
      <c r="AH363" s="136"/>
      <c r="AI363" s="136"/>
      <c r="AJ363" s="136"/>
    </row>
    <row r="364" spans="1:36" ht="24.95" customHeight="1" x14ac:dyDescent="0.2">
      <c r="A364" s="39"/>
      <c r="B364" s="437" t="s">
        <v>171</v>
      </c>
      <c r="C364" s="437"/>
      <c r="D364" s="46"/>
      <c r="E364" s="235"/>
      <c r="F364" s="235"/>
      <c r="G364" s="235"/>
      <c r="H364" s="235"/>
      <c r="I364" s="235"/>
      <c r="J364" s="229"/>
      <c r="K364" s="27"/>
      <c r="L364" s="71">
        <f>SUM(L351:L363)</f>
        <v>0</v>
      </c>
    </row>
    <row r="365" spans="1:36" s="6" customFormat="1" ht="35.1" customHeight="1" x14ac:dyDescent="0.25">
      <c r="A365" s="357"/>
      <c r="B365" s="432" t="s">
        <v>379</v>
      </c>
      <c r="C365" s="432"/>
      <c r="D365" s="432"/>
      <c r="E365" s="432"/>
      <c r="F365" s="432"/>
      <c r="G365" s="432"/>
      <c r="H365" s="432"/>
      <c r="I365" s="432"/>
      <c r="J365" s="432"/>
      <c r="K365" s="432"/>
      <c r="L365" s="358">
        <f>SUM(L364,L347,L327,L295,L281,L249,L243)</f>
        <v>0</v>
      </c>
      <c r="M365" s="131"/>
      <c r="N365" s="131"/>
      <c r="O365" s="131"/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  <c r="Z365" s="131"/>
      <c r="AA365" s="131"/>
      <c r="AB365" s="131"/>
      <c r="AC365" s="131"/>
      <c r="AD365" s="131"/>
      <c r="AE365" s="131"/>
      <c r="AF365" s="131"/>
      <c r="AG365" s="131"/>
      <c r="AH365" s="131"/>
      <c r="AI365" s="131"/>
      <c r="AJ365" s="131"/>
    </row>
    <row r="366" spans="1:36" s="59" customFormat="1" ht="35.1" customHeight="1" x14ac:dyDescent="0.2">
      <c r="A366" s="125"/>
      <c r="B366" s="444" t="s">
        <v>160</v>
      </c>
      <c r="C366" s="444"/>
      <c r="D366" s="444"/>
      <c r="E366" s="444"/>
      <c r="F366" s="444"/>
      <c r="G366" s="444"/>
      <c r="H366" s="444"/>
      <c r="I366" s="444"/>
      <c r="J366" s="444"/>
      <c r="K366" s="444"/>
      <c r="L366" s="444"/>
      <c r="M366" s="139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139"/>
      <c r="Y366" s="139"/>
      <c r="Z366" s="139"/>
      <c r="AA366" s="139"/>
      <c r="AB366" s="139"/>
      <c r="AC366" s="139"/>
      <c r="AD366" s="139"/>
      <c r="AE366" s="139"/>
      <c r="AF366" s="139"/>
      <c r="AG366" s="139"/>
      <c r="AH366" s="139"/>
      <c r="AI366" s="139"/>
      <c r="AJ366" s="139"/>
    </row>
    <row r="367" spans="1:36" s="35" customFormat="1" ht="24.95" customHeight="1" x14ac:dyDescent="0.25">
      <c r="A367" s="369"/>
      <c r="B367" s="370" t="s">
        <v>7</v>
      </c>
      <c r="C367" s="370"/>
      <c r="D367" s="370" t="s">
        <v>194</v>
      </c>
      <c r="E367" s="371" t="s">
        <v>114</v>
      </c>
      <c r="F367" s="371"/>
      <c r="G367" s="371"/>
      <c r="H367" s="371"/>
      <c r="I367" s="371"/>
      <c r="J367" s="371"/>
      <c r="K367" s="372" t="s">
        <v>4</v>
      </c>
      <c r="L367" s="391" t="s">
        <v>115</v>
      </c>
      <c r="M367" s="130"/>
      <c r="N367" s="130"/>
      <c r="O367" s="130"/>
      <c r="P367" s="130"/>
      <c r="Q367" s="130"/>
      <c r="R367" s="130"/>
      <c r="S367" s="130"/>
      <c r="T367" s="130"/>
      <c r="U367" s="130"/>
      <c r="V367" s="130"/>
      <c r="W367" s="130"/>
      <c r="X367" s="130"/>
      <c r="Y367" s="130"/>
      <c r="Z367" s="130"/>
      <c r="AA367" s="130"/>
      <c r="AB367" s="130"/>
      <c r="AC367" s="130"/>
      <c r="AD367" s="130"/>
      <c r="AE367" s="130"/>
      <c r="AF367" s="130"/>
      <c r="AG367" s="130"/>
      <c r="AH367" s="130"/>
      <c r="AI367" s="130"/>
      <c r="AJ367" s="130"/>
    </row>
    <row r="368" spans="1:36" s="6" customFormat="1" ht="24.95" customHeight="1" x14ac:dyDescent="0.25">
      <c r="A368" s="369"/>
      <c r="B368" s="370"/>
      <c r="C368" s="370"/>
      <c r="D368" s="370"/>
      <c r="E368" s="259" t="s">
        <v>245</v>
      </c>
      <c r="F368" s="259" t="s">
        <v>246</v>
      </c>
      <c r="G368" s="259" t="s">
        <v>341</v>
      </c>
      <c r="H368" s="259" t="s">
        <v>342</v>
      </c>
      <c r="I368" s="259" t="s">
        <v>343</v>
      </c>
      <c r="J368" s="262" t="s">
        <v>8</v>
      </c>
      <c r="K368" s="372"/>
      <c r="L368" s="391"/>
      <c r="M368" s="131"/>
      <c r="N368" s="131"/>
      <c r="O368" s="131"/>
      <c r="P368" s="131"/>
      <c r="Q368" s="131"/>
      <c r="R368" s="131"/>
      <c r="S368" s="131"/>
      <c r="T368" s="131"/>
      <c r="U368" s="131"/>
      <c r="V368" s="131"/>
      <c r="W368" s="131"/>
      <c r="X368" s="131"/>
      <c r="Y368" s="131"/>
      <c r="Z368" s="131"/>
      <c r="AA368" s="131"/>
      <c r="AB368" s="131"/>
      <c r="AC368" s="131"/>
      <c r="AD368" s="131"/>
      <c r="AE368" s="131"/>
      <c r="AF368" s="131"/>
      <c r="AG368" s="131"/>
      <c r="AH368" s="131"/>
      <c r="AI368" s="131"/>
      <c r="AJ368" s="131"/>
    </row>
    <row r="369" spans="1:36" s="41" customFormat="1" ht="24.95" customHeight="1" x14ac:dyDescent="0.2">
      <c r="A369" s="39"/>
      <c r="B369" s="445" t="s">
        <v>161</v>
      </c>
      <c r="C369" s="445"/>
      <c r="D369" s="445"/>
      <c r="E369" s="445"/>
      <c r="F369" s="445"/>
      <c r="G369" s="445"/>
      <c r="H369" s="445"/>
      <c r="I369" s="445"/>
      <c r="J369" s="445"/>
      <c r="K369" s="445"/>
      <c r="L369" s="445"/>
      <c r="M369" s="140"/>
      <c r="N369" s="140"/>
      <c r="O369" s="140"/>
      <c r="P369" s="140"/>
      <c r="Q369" s="140"/>
      <c r="R369" s="140"/>
      <c r="S369" s="140"/>
      <c r="T369" s="140"/>
      <c r="U369" s="140"/>
      <c r="V369" s="140"/>
      <c r="W369" s="140"/>
      <c r="X369" s="140"/>
      <c r="Y369" s="140"/>
      <c r="Z369" s="140"/>
      <c r="AA369" s="140"/>
      <c r="AB369" s="140"/>
      <c r="AC369" s="140"/>
      <c r="AD369" s="140"/>
      <c r="AE369" s="140"/>
      <c r="AF369" s="140"/>
      <c r="AG369" s="140"/>
      <c r="AH369" s="140"/>
      <c r="AI369" s="140"/>
      <c r="AJ369" s="140"/>
    </row>
    <row r="370" spans="1:36" s="41" customFormat="1" ht="24.95" customHeight="1" x14ac:dyDescent="0.2">
      <c r="A370" s="47" t="s">
        <v>27</v>
      </c>
      <c r="B370" s="402" t="s">
        <v>425</v>
      </c>
      <c r="C370" s="403"/>
      <c r="D370" s="11" t="s">
        <v>15</v>
      </c>
      <c r="E370" s="315">
        <f>E300*5*0.1</f>
        <v>9</v>
      </c>
      <c r="F370" s="315">
        <f>F300*5*0.1</f>
        <v>12.5</v>
      </c>
      <c r="G370" s="315">
        <f t="shared" ref="G370" si="221">G300*8*0.1</f>
        <v>0</v>
      </c>
      <c r="H370" s="315">
        <f>H300*5*0.1</f>
        <v>3</v>
      </c>
      <c r="I370" s="315">
        <f>I300*5*0.1</f>
        <v>3.5</v>
      </c>
      <c r="J370" s="332">
        <f t="shared" ref="J370:J375" si="222">SUM(E370:I370)</f>
        <v>28</v>
      </c>
      <c r="K370" s="20">
        <v>0</v>
      </c>
      <c r="L370" s="72">
        <f>K370*J370</f>
        <v>0</v>
      </c>
      <c r="M370" s="140"/>
      <c r="N370" s="140"/>
      <c r="O370" s="140"/>
      <c r="P370" s="140"/>
      <c r="Q370" s="140"/>
      <c r="R370" s="140"/>
      <c r="S370" s="140"/>
      <c r="T370" s="140"/>
      <c r="U370" s="140"/>
      <c r="V370" s="140"/>
      <c r="W370" s="140"/>
      <c r="X370" s="140"/>
      <c r="Y370" s="140"/>
      <c r="Z370" s="140"/>
      <c r="AA370" s="140"/>
      <c r="AB370" s="140"/>
      <c r="AC370" s="140"/>
      <c r="AD370" s="140"/>
      <c r="AE370" s="140"/>
      <c r="AF370" s="140"/>
      <c r="AG370" s="140"/>
      <c r="AH370" s="140"/>
      <c r="AI370" s="140"/>
      <c r="AJ370" s="140"/>
    </row>
    <row r="371" spans="1:36" s="41" customFormat="1" ht="24.95" customHeight="1" x14ac:dyDescent="0.2">
      <c r="A371" s="33" t="s">
        <v>217</v>
      </c>
      <c r="B371" s="408" t="s">
        <v>218</v>
      </c>
      <c r="C371" s="408"/>
      <c r="D371" s="63" t="s">
        <v>15</v>
      </c>
      <c r="E371" s="315">
        <f t="shared" ref="E371:F371" si="223">E370</f>
        <v>9</v>
      </c>
      <c r="F371" s="315">
        <f t="shared" si="223"/>
        <v>12.5</v>
      </c>
      <c r="G371" s="315">
        <f t="shared" ref="G371:I371" si="224">G370</f>
        <v>0</v>
      </c>
      <c r="H371" s="315">
        <f t="shared" si="224"/>
        <v>3</v>
      </c>
      <c r="I371" s="315">
        <f t="shared" si="224"/>
        <v>3.5</v>
      </c>
      <c r="J371" s="332">
        <f t="shared" si="222"/>
        <v>28</v>
      </c>
      <c r="K371" s="20">
        <v>0</v>
      </c>
      <c r="L371" s="72">
        <f t="shared" ref="L371:L375" si="225">K371*J371</f>
        <v>0</v>
      </c>
      <c r="M371" s="140"/>
      <c r="N371" s="140"/>
      <c r="O371" s="140"/>
      <c r="P371" s="140"/>
      <c r="Q371" s="140"/>
      <c r="R371" s="140"/>
      <c r="S371" s="140"/>
      <c r="T371" s="140"/>
      <c r="U371" s="140"/>
      <c r="V371" s="140"/>
      <c r="W371" s="140"/>
      <c r="X371" s="140"/>
      <c r="Y371" s="140"/>
      <c r="Z371" s="140"/>
      <c r="AA371" s="140"/>
      <c r="AB371" s="140"/>
      <c r="AC371" s="140"/>
      <c r="AD371" s="140"/>
      <c r="AE371" s="140"/>
      <c r="AF371" s="140"/>
      <c r="AG371" s="140"/>
      <c r="AH371" s="140"/>
      <c r="AI371" s="140"/>
      <c r="AJ371" s="140"/>
    </row>
    <row r="372" spans="1:36" s="41" customFormat="1" ht="24.95" customHeight="1" x14ac:dyDescent="0.2">
      <c r="A372" s="39" t="s">
        <v>203</v>
      </c>
      <c r="B372" s="373" t="s">
        <v>150</v>
      </c>
      <c r="C372" s="373"/>
      <c r="D372" s="11" t="s">
        <v>9</v>
      </c>
      <c r="E372" s="315">
        <f t="shared" ref="E372:I372" si="226">E300/2</f>
        <v>9</v>
      </c>
      <c r="F372" s="315">
        <f t="shared" si="226"/>
        <v>12.5</v>
      </c>
      <c r="G372" s="315">
        <f t="shared" si="226"/>
        <v>0</v>
      </c>
      <c r="H372" s="315">
        <f t="shared" si="226"/>
        <v>3</v>
      </c>
      <c r="I372" s="315">
        <f t="shared" si="226"/>
        <v>3.5</v>
      </c>
      <c r="J372" s="332">
        <f t="shared" si="222"/>
        <v>28</v>
      </c>
      <c r="K372" s="20">
        <v>0</v>
      </c>
      <c r="L372" s="72">
        <f t="shared" si="225"/>
        <v>0</v>
      </c>
      <c r="M372" s="140"/>
      <c r="N372" s="140"/>
      <c r="O372" s="140"/>
      <c r="P372" s="140"/>
      <c r="Q372" s="140"/>
      <c r="R372" s="140"/>
      <c r="S372" s="140"/>
      <c r="T372" s="140"/>
      <c r="U372" s="140"/>
      <c r="V372" s="140"/>
      <c r="W372" s="140"/>
      <c r="X372" s="140"/>
      <c r="Y372" s="140"/>
      <c r="Z372" s="140"/>
      <c r="AA372" s="140"/>
      <c r="AB372" s="140"/>
      <c r="AC372" s="140"/>
      <c r="AD372" s="140"/>
      <c r="AE372" s="140"/>
      <c r="AF372" s="140"/>
      <c r="AG372" s="140"/>
      <c r="AH372" s="140"/>
      <c r="AI372" s="140"/>
      <c r="AJ372" s="140"/>
    </row>
    <row r="373" spans="1:36" s="41" customFormat="1" ht="24.95" customHeight="1" x14ac:dyDescent="0.2">
      <c r="A373" s="11" t="s">
        <v>64</v>
      </c>
      <c r="B373" s="403" t="s">
        <v>145</v>
      </c>
      <c r="C373" s="403"/>
      <c r="D373" s="11" t="s">
        <v>14</v>
      </c>
      <c r="E373" s="315">
        <f t="shared" ref="E373:I373" si="227">E300</f>
        <v>18</v>
      </c>
      <c r="F373" s="315">
        <f t="shared" si="227"/>
        <v>25</v>
      </c>
      <c r="G373" s="315">
        <f t="shared" si="227"/>
        <v>0</v>
      </c>
      <c r="H373" s="315">
        <f t="shared" si="227"/>
        <v>6</v>
      </c>
      <c r="I373" s="315">
        <f t="shared" si="227"/>
        <v>7</v>
      </c>
      <c r="J373" s="332">
        <f t="shared" si="222"/>
        <v>56</v>
      </c>
      <c r="K373" s="20">
        <v>0</v>
      </c>
      <c r="L373" s="72">
        <f t="shared" si="225"/>
        <v>0</v>
      </c>
      <c r="M373" s="140"/>
      <c r="N373" s="140"/>
      <c r="O373" s="140"/>
      <c r="P373" s="140"/>
      <c r="Q373" s="140"/>
      <c r="R373" s="140"/>
      <c r="S373" s="140"/>
      <c r="T373" s="140"/>
      <c r="U373" s="140"/>
      <c r="V373" s="140"/>
      <c r="W373" s="140"/>
      <c r="X373" s="140"/>
      <c r="Y373" s="140"/>
      <c r="Z373" s="140"/>
      <c r="AA373" s="140"/>
      <c r="AB373" s="140"/>
      <c r="AC373" s="140"/>
      <c r="AD373" s="140"/>
      <c r="AE373" s="140"/>
      <c r="AF373" s="140"/>
      <c r="AG373" s="140"/>
      <c r="AH373" s="140"/>
      <c r="AI373" s="140"/>
      <c r="AJ373" s="140"/>
    </row>
    <row r="374" spans="1:36" s="41" customFormat="1" ht="24.95" customHeight="1" x14ac:dyDescent="0.2">
      <c r="A374" s="11" t="s">
        <v>28</v>
      </c>
      <c r="B374" s="409" t="s">
        <v>166</v>
      </c>
      <c r="C374" s="373"/>
      <c r="D374" s="11" t="s">
        <v>15</v>
      </c>
      <c r="E374" s="315">
        <f t="shared" ref="E374:I374" si="228">E300*0.1</f>
        <v>1.8</v>
      </c>
      <c r="F374" s="315">
        <f t="shared" si="228"/>
        <v>2.5</v>
      </c>
      <c r="G374" s="315">
        <f t="shared" si="228"/>
        <v>0</v>
      </c>
      <c r="H374" s="315">
        <f t="shared" si="228"/>
        <v>0.60000000000000009</v>
      </c>
      <c r="I374" s="315">
        <f t="shared" si="228"/>
        <v>0.70000000000000007</v>
      </c>
      <c r="J374" s="332">
        <f t="shared" si="222"/>
        <v>5.6000000000000005</v>
      </c>
      <c r="K374" s="20">
        <v>0</v>
      </c>
      <c r="L374" s="72">
        <f t="shared" si="225"/>
        <v>0</v>
      </c>
      <c r="M374" s="140"/>
      <c r="N374" s="140"/>
      <c r="O374" s="140"/>
      <c r="P374" s="140"/>
      <c r="Q374" s="140"/>
      <c r="R374" s="140"/>
      <c r="S374" s="140"/>
      <c r="T374" s="140"/>
      <c r="U374" s="140"/>
      <c r="V374" s="140"/>
      <c r="W374" s="140"/>
      <c r="X374" s="140"/>
      <c r="Y374" s="140"/>
      <c r="Z374" s="140"/>
      <c r="AA374" s="140"/>
      <c r="AB374" s="140"/>
      <c r="AC374" s="140"/>
      <c r="AD374" s="140"/>
      <c r="AE374" s="140"/>
      <c r="AF374" s="140"/>
      <c r="AG374" s="140"/>
      <c r="AH374" s="140"/>
      <c r="AI374" s="140"/>
      <c r="AJ374" s="140"/>
    </row>
    <row r="375" spans="1:36" s="41" customFormat="1" ht="24.95" customHeight="1" x14ac:dyDescent="0.2">
      <c r="A375" s="39" t="s">
        <v>204</v>
      </c>
      <c r="B375" s="402" t="s">
        <v>426</v>
      </c>
      <c r="C375" s="403"/>
      <c r="D375" s="11" t="s">
        <v>14</v>
      </c>
      <c r="E375" s="315">
        <f>E300</f>
        <v>18</v>
      </c>
      <c r="F375" s="315">
        <f>F300</f>
        <v>25</v>
      </c>
      <c r="G375" s="315">
        <f t="shared" ref="G375" si="229">G300*2</f>
        <v>0</v>
      </c>
      <c r="H375" s="315">
        <f>H300</f>
        <v>6</v>
      </c>
      <c r="I375" s="315">
        <f>I300</f>
        <v>7</v>
      </c>
      <c r="J375" s="332">
        <f t="shared" si="222"/>
        <v>56</v>
      </c>
      <c r="K375" s="20">
        <v>0</v>
      </c>
      <c r="L375" s="72">
        <f t="shared" si="225"/>
        <v>0</v>
      </c>
      <c r="M375" s="140"/>
      <c r="N375" s="140"/>
      <c r="O375" s="140"/>
      <c r="P375" s="140"/>
      <c r="Q375" s="140"/>
      <c r="R375" s="140"/>
      <c r="S375" s="140"/>
      <c r="T375" s="140"/>
      <c r="U375" s="140"/>
      <c r="V375" s="140"/>
      <c r="W375" s="140"/>
      <c r="X375" s="140"/>
      <c r="Y375" s="140"/>
      <c r="Z375" s="140"/>
      <c r="AA375" s="140"/>
      <c r="AB375" s="140"/>
      <c r="AC375" s="140"/>
      <c r="AD375" s="140"/>
      <c r="AE375" s="140"/>
      <c r="AF375" s="140"/>
      <c r="AG375" s="140"/>
      <c r="AH375" s="140"/>
      <c r="AI375" s="140"/>
      <c r="AJ375" s="140"/>
    </row>
    <row r="376" spans="1:36" s="41" customFormat="1" ht="24.95" customHeight="1" x14ac:dyDescent="0.2">
      <c r="A376" s="19"/>
      <c r="B376" s="450" t="s">
        <v>162</v>
      </c>
      <c r="C376" s="450"/>
      <c r="D376" s="42"/>
      <c r="E376" s="237"/>
      <c r="F376" s="237"/>
      <c r="G376" s="237"/>
      <c r="H376" s="237"/>
      <c r="I376" s="237"/>
      <c r="J376" s="237"/>
      <c r="K376" s="43"/>
      <c r="L376" s="68">
        <f>SUM(L370:L375)</f>
        <v>0</v>
      </c>
      <c r="M376" s="140"/>
      <c r="N376" s="140"/>
      <c r="O376" s="140"/>
      <c r="P376" s="140"/>
      <c r="Q376" s="140"/>
      <c r="R376" s="140"/>
      <c r="S376" s="140"/>
      <c r="T376" s="140"/>
      <c r="U376" s="140"/>
      <c r="V376" s="140"/>
      <c r="W376" s="140"/>
      <c r="X376" s="140"/>
      <c r="Y376" s="140"/>
      <c r="Z376" s="140"/>
      <c r="AA376" s="140"/>
      <c r="AB376" s="140"/>
      <c r="AC376" s="140"/>
      <c r="AD376" s="140"/>
      <c r="AE376" s="140"/>
      <c r="AF376" s="140"/>
      <c r="AG376" s="140"/>
      <c r="AH376" s="140"/>
      <c r="AI376" s="140"/>
      <c r="AJ376" s="140"/>
    </row>
    <row r="377" spans="1:36" s="345" customFormat="1" ht="24.95" customHeight="1" x14ac:dyDescent="0.2">
      <c r="A377" s="318"/>
      <c r="B377" s="440" t="s">
        <v>163</v>
      </c>
      <c r="C377" s="440"/>
      <c r="D377" s="440"/>
      <c r="E377" s="440"/>
      <c r="F377" s="440"/>
      <c r="G377" s="440"/>
      <c r="H377" s="440"/>
      <c r="I377" s="440"/>
      <c r="J377" s="440"/>
      <c r="K377" s="440"/>
      <c r="L377" s="440"/>
      <c r="M377" s="344"/>
      <c r="N377" s="344"/>
      <c r="O377" s="344"/>
      <c r="P377" s="344"/>
      <c r="Q377" s="344"/>
      <c r="R377" s="344"/>
      <c r="S377" s="344"/>
      <c r="T377" s="344"/>
      <c r="U377" s="344"/>
      <c r="V377" s="344"/>
      <c r="W377" s="344"/>
      <c r="X377" s="344"/>
      <c r="Y377" s="344"/>
      <c r="Z377" s="344"/>
      <c r="AA377" s="344"/>
      <c r="AB377" s="344"/>
      <c r="AC377" s="344"/>
      <c r="AD377" s="344"/>
      <c r="AE377" s="344"/>
      <c r="AF377" s="344"/>
      <c r="AG377" s="344"/>
      <c r="AH377" s="344"/>
      <c r="AI377" s="344"/>
      <c r="AJ377" s="344"/>
    </row>
    <row r="378" spans="1:36" s="345" customFormat="1" ht="24.95" customHeight="1" x14ac:dyDescent="0.2">
      <c r="A378" s="258" t="s">
        <v>146</v>
      </c>
      <c r="B378" s="375" t="s">
        <v>427</v>
      </c>
      <c r="C378" s="375"/>
      <c r="D378" s="257" t="s">
        <v>15</v>
      </c>
      <c r="E378" s="315">
        <f>(91+120)*5*0.02</f>
        <v>21.1</v>
      </c>
      <c r="F378" s="315">
        <f t="shared" ref="F378:I378" si="230">(F273+F277)*12*0.02</f>
        <v>0</v>
      </c>
      <c r="G378" s="315">
        <f>(G273+G277)*5*0.02</f>
        <v>11</v>
      </c>
      <c r="H378" s="315">
        <f>(H273+H277)*5*0.02</f>
        <v>105.86</v>
      </c>
      <c r="I378" s="315">
        <f t="shared" si="230"/>
        <v>0</v>
      </c>
      <c r="J378" s="332">
        <f>SUM(E378:I378)</f>
        <v>137.96</v>
      </c>
      <c r="K378" s="277">
        <v>0</v>
      </c>
      <c r="L378" s="299">
        <f>K378*J378</f>
        <v>0</v>
      </c>
      <c r="M378" s="344"/>
      <c r="N378" s="344"/>
      <c r="O378" s="344"/>
      <c r="P378" s="344"/>
      <c r="Q378" s="344"/>
      <c r="R378" s="344"/>
      <c r="S378" s="344"/>
      <c r="T378" s="344"/>
      <c r="U378" s="344"/>
      <c r="V378" s="344"/>
      <c r="W378" s="344"/>
      <c r="X378" s="344"/>
      <c r="Y378" s="344"/>
      <c r="Z378" s="344"/>
      <c r="AA378" s="344"/>
      <c r="AB378" s="344"/>
      <c r="AC378" s="344"/>
      <c r="AD378" s="344"/>
      <c r="AE378" s="344"/>
      <c r="AF378" s="344"/>
      <c r="AG378" s="344"/>
      <c r="AH378" s="344"/>
      <c r="AI378" s="344"/>
      <c r="AJ378" s="344"/>
    </row>
    <row r="379" spans="1:36" s="345" customFormat="1" ht="24.95" customHeight="1" x14ac:dyDescent="0.2">
      <c r="A379" s="257" t="s">
        <v>217</v>
      </c>
      <c r="B379" s="378" t="s">
        <v>218</v>
      </c>
      <c r="C379" s="378"/>
      <c r="D379" s="346" t="s">
        <v>15</v>
      </c>
      <c r="E379" s="315">
        <f t="shared" ref="E379:I379" si="231">E378</f>
        <v>21.1</v>
      </c>
      <c r="F379" s="315">
        <f t="shared" si="231"/>
        <v>0</v>
      </c>
      <c r="G379" s="315">
        <f t="shared" si="231"/>
        <v>11</v>
      </c>
      <c r="H379" s="315">
        <f t="shared" si="231"/>
        <v>105.86</v>
      </c>
      <c r="I379" s="315">
        <f t="shared" si="231"/>
        <v>0</v>
      </c>
      <c r="J379" s="332">
        <f>SUM(E379:I379)</f>
        <v>137.96</v>
      </c>
      <c r="K379" s="277">
        <v>0</v>
      </c>
      <c r="L379" s="299">
        <f t="shared" ref="L379:L382" si="232">K379*J379</f>
        <v>0</v>
      </c>
      <c r="M379" s="344"/>
      <c r="N379" s="344"/>
      <c r="O379" s="344"/>
      <c r="P379" s="344"/>
      <c r="Q379" s="344"/>
      <c r="R379" s="344"/>
      <c r="S379" s="344"/>
      <c r="T379" s="344"/>
      <c r="U379" s="344"/>
      <c r="V379" s="344"/>
      <c r="W379" s="344"/>
      <c r="X379" s="344"/>
      <c r="Y379" s="344"/>
      <c r="Z379" s="344"/>
      <c r="AA379" s="344"/>
      <c r="AB379" s="344"/>
      <c r="AC379" s="344"/>
      <c r="AD379" s="344"/>
      <c r="AE379" s="344"/>
      <c r="AF379" s="344"/>
      <c r="AG379" s="344"/>
      <c r="AH379" s="344"/>
      <c r="AI379" s="344"/>
      <c r="AJ379" s="344"/>
    </row>
    <row r="380" spans="1:36" s="345" customFormat="1" ht="24.95" customHeight="1" x14ac:dyDescent="0.2">
      <c r="A380" s="258" t="s">
        <v>141</v>
      </c>
      <c r="B380" s="443" t="s">
        <v>428</v>
      </c>
      <c r="C380" s="443"/>
      <c r="D380" s="257" t="s">
        <v>14</v>
      </c>
      <c r="E380" s="315">
        <f>(E273+E277)</f>
        <v>211</v>
      </c>
      <c r="F380" s="315">
        <f t="shared" ref="F380:I380" si="233">(F273+F277)*2</f>
        <v>0</v>
      </c>
      <c r="G380" s="315">
        <f>(G273+G277)</f>
        <v>110</v>
      </c>
      <c r="H380" s="315">
        <f>(H273+H277)</f>
        <v>1058.5999999999999</v>
      </c>
      <c r="I380" s="315">
        <f t="shared" si="233"/>
        <v>0</v>
      </c>
      <c r="J380" s="332">
        <f>SUM(E380:I380)</f>
        <v>1379.6</v>
      </c>
      <c r="K380" s="277">
        <v>0</v>
      </c>
      <c r="L380" s="299">
        <f t="shared" si="232"/>
        <v>0</v>
      </c>
      <c r="M380" s="344"/>
      <c r="N380" s="344"/>
      <c r="O380" s="344"/>
      <c r="P380" s="344"/>
      <c r="Q380" s="344"/>
      <c r="R380" s="344"/>
      <c r="S380" s="344"/>
      <c r="T380" s="344"/>
      <c r="U380" s="344"/>
      <c r="V380" s="344"/>
      <c r="W380" s="344"/>
      <c r="X380" s="344"/>
      <c r="Y380" s="344"/>
      <c r="Z380" s="344"/>
      <c r="AA380" s="344"/>
      <c r="AB380" s="344"/>
      <c r="AC380" s="344"/>
      <c r="AD380" s="344"/>
      <c r="AE380" s="344"/>
      <c r="AF380" s="344"/>
      <c r="AG380" s="344"/>
      <c r="AH380" s="344"/>
      <c r="AI380" s="344"/>
      <c r="AJ380" s="344"/>
    </row>
    <row r="381" spans="1:36" s="345" customFormat="1" ht="24.95" customHeight="1" x14ac:dyDescent="0.2">
      <c r="A381" s="257" t="s">
        <v>29</v>
      </c>
      <c r="B381" s="443" t="s">
        <v>147</v>
      </c>
      <c r="C381" s="443"/>
      <c r="D381" s="257" t="s">
        <v>14</v>
      </c>
      <c r="E381" s="315">
        <f>(E273)</f>
        <v>91</v>
      </c>
      <c r="F381" s="315">
        <f t="shared" ref="F381:I381" si="234">(F273)</f>
        <v>0</v>
      </c>
      <c r="G381" s="315">
        <f t="shared" si="234"/>
        <v>110</v>
      </c>
      <c r="H381" s="315">
        <f t="shared" si="234"/>
        <v>29</v>
      </c>
      <c r="I381" s="315">
        <f t="shared" si="234"/>
        <v>0</v>
      </c>
      <c r="J381" s="332">
        <f>SUM(E381:I381)</f>
        <v>230</v>
      </c>
      <c r="K381" s="277">
        <v>0</v>
      </c>
      <c r="L381" s="299">
        <f t="shared" si="232"/>
        <v>0</v>
      </c>
      <c r="M381" s="344"/>
      <c r="N381" s="344"/>
      <c r="O381" s="344"/>
      <c r="P381" s="344"/>
      <c r="Q381" s="344"/>
      <c r="R381" s="344"/>
      <c r="S381" s="344"/>
      <c r="T381" s="344"/>
      <c r="U381" s="344"/>
      <c r="V381" s="344"/>
      <c r="W381" s="344"/>
      <c r="X381" s="344"/>
      <c r="Y381" s="344"/>
      <c r="Z381" s="344"/>
      <c r="AA381" s="344"/>
      <c r="AB381" s="344"/>
      <c r="AC381" s="344"/>
      <c r="AD381" s="344"/>
      <c r="AE381" s="344"/>
      <c r="AF381" s="344"/>
      <c r="AG381" s="344"/>
      <c r="AH381" s="344"/>
      <c r="AI381" s="344"/>
      <c r="AJ381" s="344"/>
    </row>
    <row r="382" spans="1:36" s="345" customFormat="1" ht="24.95" customHeight="1" x14ac:dyDescent="0.2">
      <c r="A382" s="257" t="s">
        <v>28</v>
      </c>
      <c r="B382" s="443" t="s">
        <v>167</v>
      </c>
      <c r="C382" s="443"/>
      <c r="D382" s="257" t="s">
        <v>15</v>
      </c>
      <c r="E382" s="315">
        <f>(E273)*0.1</f>
        <v>9.1</v>
      </c>
      <c r="F382" s="315">
        <f t="shared" ref="F382:I382" si="235">(F273)*0.1</f>
        <v>0</v>
      </c>
      <c r="G382" s="315">
        <f t="shared" si="235"/>
        <v>11</v>
      </c>
      <c r="H382" s="315">
        <f t="shared" si="235"/>
        <v>2.9000000000000004</v>
      </c>
      <c r="I382" s="315">
        <f t="shared" si="235"/>
        <v>0</v>
      </c>
      <c r="J382" s="332">
        <f>SUM(E382:I382)</f>
        <v>23</v>
      </c>
      <c r="K382" s="277">
        <v>0</v>
      </c>
      <c r="L382" s="299">
        <f t="shared" si="232"/>
        <v>0</v>
      </c>
      <c r="M382" s="344"/>
      <c r="N382" s="344"/>
      <c r="O382" s="344"/>
      <c r="P382" s="344"/>
      <c r="Q382" s="344"/>
      <c r="R382" s="344"/>
      <c r="S382" s="344"/>
      <c r="T382" s="344"/>
      <c r="U382" s="344"/>
      <c r="V382" s="344"/>
      <c r="W382" s="344"/>
      <c r="X382" s="344"/>
      <c r="Y382" s="344"/>
      <c r="Z382" s="344"/>
      <c r="AA382" s="344"/>
      <c r="AB382" s="344"/>
      <c r="AC382" s="344"/>
      <c r="AD382" s="344"/>
      <c r="AE382" s="344"/>
      <c r="AF382" s="344"/>
      <c r="AG382" s="344"/>
      <c r="AH382" s="344"/>
      <c r="AI382" s="344"/>
      <c r="AJ382" s="344"/>
    </row>
    <row r="383" spans="1:36" s="345" customFormat="1" ht="24.95" customHeight="1" x14ac:dyDescent="0.2">
      <c r="A383" s="258"/>
      <c r="B383" s="474" t="s">
        <v>164</v>
      </c>
      <c r="C383" s="474"/>
      <c r="D383" s="347"/>
      <c r="E383" s="347"/>
      <c r="F383" s="347"/>
      <c r="G383" s="347"/>
      <c r="H383" s="347"/>
      <c r="I383" s="347"/>
      <c r="J383" s="347"/>
      <c r="K383" s="348"/>
      <c r="L383" s="349">
        <f>SUM(L378:L382)</f>
        <v>0</v>
      </c>
      <c r="M383" s="344"/>
      <c r="N383" s="344"/>
      <c r="O383" s="344"/>
      <c r="P383" s="344"/>
      <c r="Q383" s="344"/>
      <c r="R383" s="344"/>
      <c r="S383" s="344"/>
      <c r="T383" s="344"/>
      <c r="U383" s="344"/>
      <c r="V383" s="344"/>
      <c r="W383" s="344"/>
      <c r="X383" s="344"/>
      <c r="Y383" s="344"/>
      <c r="Z383" s="344"/>
      <c r="AA383" s="344"/>
      <c r="AB383" s="344"/>
      <c r="AC383" s="344"/>
      <c r="AD383" s="344"/>
      <c r="AE383" s="344"/>
      <c r="AF383" s="344"/>
      <c r="AG383" s="344"/>
      <c r="AH383" s="344"/>
      <c r="AI383" s="344"/>
      <c r="AJ383" s="344"/>
    </row>
    <row r="384" spans="1:36" s="345" customFormat="1" ht="24.95" customHeight="1" x14ac:dyDescent="0.2">
      <c r="A384" s="19"/>
      <c r="B384" s="399" t="s">
        <v>422</v>
      </c>
      <c r="C384" s="399"/>
      <c r="D384" s="399"/>
      <c r="E384" s="399"/>
      <c r="F384" s="399"/>
      <c r="G384" s="399"/>
      <c r="H384" s="399"/>
      <c r="I384" s="399"/>
      <c r="J384" s="399"/>
      <c r="K384" s="399"/>
      <c r="L384" s="399"/>
      <c r="M384" s="344"/>
      <c r="N384" s="344"/>
      <c r="O384" s="344"/>
      <c r="P384" s="344"/>
      <c r="Q384" s="344"/>
      <c r="R384" s="344"/>
      <c r="S384" s="344"/>
      <c r="T384" s="344"/>
      <c r="U384" s="344"/>
      <c r="V384" s="344"/>
      <c r="W384" s="344"/>
      <c r="X384" s="344"/>
      <c r="Y384" s="344"/>
      <c r="Z384" s="344"/>
      <c r="AA384" s="344"/>
      <c r="AB384" s="344"/>
      <c r="AC384" s="344"/>
      <c r="AD384" s="344"/>
      <c r="AE384" s="344"/>
      <c r="AF384" s="344"/>
      <c r="AG384" s="344"/>
      <c r="AH384" s="344"/>
      <c r="AI384" s="344"/>
      <c r="AJ384" s="344"/>
    </row>
    <row r="385" spans="1:36" s="345" customFormat="1" ht="24.95" customHeight="1" x14ac:dyDescent="0.2">
      <c r="A385" s="47" t="s">
        <v>27</v>
      </c>
      <c r="B385" s="409" t="s">
        <v>423</v>
      </c>
      <c r="C385" s="373"/>
      <c r="D385" s="11" t="s">
        <v>14</v>
      </c>
      <c r="E385" s="315">
        <f>160</f>
        <v>160</v>
      </c>
      <c r="F385" s="315">
        <f>(2055.6+1585)</f>
        <v>3640.6</v>
      </c>
      <c r="G385" s="315">
        <f>(120+17)</f>
        <v>137</v>
      </c>
      <c r="H385" s="315">
        <v>0</v>
      </c>
      <c r="I385" s="257">
        <v>0</v>
      </c>
      <c r="J385" s="332">
        <f t="shared" ref="J385" si="236">SUM(E385:I385)</f>
        <v>3937.6</v>
      </c>
      <c r="K385" s="20">
        <v>0</v>
      </c>
      <c r="L385" s="72">
        <f t="shared" ref="L385" si="237">K385*J385</f>
        <v>0</v>
      </c>
      <c r="M385" s="344"/>
      <c r="N385" s="344"/>
      <c r="O385" s="344"/>
      <c r="P385" s="344"/>
      <c r="Q385" s="344"/>
      <c r="R385" s="344"/>
      <c r="S385" s="344"/>
      <c r="T385" s="344"/>
      <c r="U385" s="344"/>
      <c r="V385" s="344"/>
      <c r="W385" s="344"/>
      <c r="X385" s="344"/>
      <c r="Y385" s="344"/>
      <c r="Z385" s="344"/>
      <c r="AA385" s="344"/>
      <c r="AB385" s="344"/>
      <c r="AC385" s="344"/>
      <c r="AD385" s="344"/>
      <c r="AE385" s="344"/>
      <c r="AF385" s="344"/>
      <c r="AG385" s="344"/>
      <c r="AH385" s="344"/>
      <c r="AI385" s="344"/>
      <c r="AJ385" s="344"/>
    </row>
    <row r="386" spans="1:36" s="345" customFormat="1" ht="24.95" customHeight="1" x14ac:dyDescent="0.2">
      <c r="A386" s="39"/>
      <c r="B386" s="429" t="s">
        <v>424</v>
      </c>
      <c r="C386" s="429"/>
      <c r="D386" s="42"/>
      <c r="E386" s="237"/>
      <c r="F386" s="237"/>
      <c r="G386" s="237"/>
      <c r="H386" s="237"/>
      <c r="I386" s="237"/>
      <c r="J386" s="237"/>
      <c r="K386" s="43"/>
      <c r="L386" s="68">
        <f>SUM(L385:L385)</f>
        <v>0</v>
      </c>
      <c r="M386" s="344"/>
      <c r="N386" s="344"/>
      <c r="O386" s="344"/>
      <c r="P386" s="344"/>
      <c r="Q386" s="344"/>
      <c r="R386" s="344"/>
      <c r="S386" s="344"/>
      <c r="T386" s="344"/>
      <c r="U386" s="344"/>
      <c r="V386" s="344"/>
      <c r="W386" s="344"/>
      <c r="X386" s="344"/>
      <c r="Y386" s="344"/>
      <c r="Z386" s="344"/>
      <c r="AA386" s="344"/>
      <c r="AB386" s="344"/>
      <c r="AC386" s="344"/>
      <c r="AD386" s="344"/>
      <c r="AE386" s="344"/>
      <c r="AF386" s="344"/>
      <c r="AG386" s="344"/>
      <c r="AH386" s="344"/>
      <c r="AI386" s="344"/>
      <c r="AJ386" s="344"/>
    </row>
    <row r="387" spans="1:36" s="354" customFormat="1" ht="24.95" customHeight="1" x14ac:dyDescent="0.2">
      <c r="A387" s="350" t="s">
        <v>27</v>
      </c>
      <c r="B387" s="438" t="s">
        <v>242</v>
      </c>
      <c r="C387" s="439"/>
      <c r="D387" s="289" t="s">
        <v>241</v>
      </c>
      <c r="E387" s="446">
        <v>2</v>
      </c>
      <c r="F387" s="447"/>
      <c r="G387" s="447"/>
      <c r="H387" s="447"/>
      <c r="I387" s="447"/>
      <c r="J387" s="448"/>
      <c r="K387" s="351">
        <v>0</v>
      </c>
      <c r="L387" s="352">
        <f>E387*K387</f>
        <v>0</v>
      </c>
      <c r="M387" s="353"/>
      <c r="N387" s="353"/>
      <c r="O387" s="353"/>
      <c r="P387" s="353"/>
      <c r="Q387" s="353"/>
      <c r="R387" s="353"/>
      <c r="S387" s="353"/>
      <c r="T387" s="353"/>
      <c r="U387" s="353"/>
      <c r="V387" s="353"/>
      <c r="W387" s="353"/>
      <c r="X387" s="353"/>
      <c r="Y387" s="353"/>
      <c r="Z387" s="353"/>
      <c r="AA387" s="353"/>
      <c r="AB387" s="353"/>
      <c r="AC387" s="353"/>
      <c r="AD387" s="353"/>
      <c r="AE387" s="353"/>
      <c r="AF387" s="353"/>
      <c r="AG387" s="353"/>
      <c r="AH387" s="353"/>
      <c r="AI387" s="353"/>
      <c r="AJ387" s="353"/>
    </row>
    <row r="388" spans="1:36" s="57" customFormat="1" ht="35.1" customHeight="1" x14ac:dyDescent="0.2">
      <c r="A388" s="58"/>
      <c r="B388" s="449" t="s">
        <v>165</v>
      </c>
      <c r="C388" s="449"/>
      <c r="D388" s="449"/>
      <c r="E388" s="449"/>
      <c r="F388" s="449"/>
      <c r="G388" s="449"/>
      <c r="H388" s="449"/>
      <c r="I388" s="449"/>
      <c r="J388" s="449"/>
      <c r="K388" s="449"/>
      <c r="L388" s="73">
        <f>SUM(L387,L383,L376,L386)</f>
        <v>0</v>
      </c>
      <c r="M388" s="141"/>
      <c r="N388" s="141"/>
      <c r="O388" s="141"/>
      <c r="P388" s="141"/>
      <c r="Q388" s="141"/>
      <c r="R388" s="141"/>
      <c r="S388" s="141"/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</row>
    <row r="389" spans="1:36" ht="37.5" customHeight="1" x14ac:dyDescent="0.2">
      <c r="A389" s="100"/>
      <c r="B389" s="483" t="s">
        <v>377</v>
      </c>
      <c r="C389" s="483"/>
      <c r="D389" s="483"/>
      <c r="E389" s="483"/>
      <c r="F389" s="483"/>
      <c r="G389" s="483"/>
      <c r="H389" s="483"/>
      <c r="I389" s="483"/>
      <c r="J389" s="483"/>
      <c r="K389" s="483"/>
      <c r="L389" s="483"/>
    </row>
    <row r="390" spans="1:36" s="35" customFormat="1" ht="24.95" customHeight="1" x14ac:dyDescent="0.25">
      <c r="A390" s="369"/>
      <c r="B390" s="370" t="s">
        <v>7</v>
      </c>
      <c r="C390" s="370"/>
      <c r="D390" s="370" t="s">
        <v>194</v>
      </c>
      <c r="E390" s="371" t="s">
        <v>114</v>
      </c>
      <c r="F390" s="371"/>
      <c r="G390" s="371"/>
      <c r="H390" s="371"/>
      <c r="I390" s="371"/>
      <c r="J390" s="371"/>
      <c r="K390" s="372" t="s">
        <v>4</v>
      </c>
      <c r="L390" s="391" t="s">
        <v>115</v>
      </c>
      <c r="M390" s="130"/>
      <c r="N390" s="130"/>
      <c r="O390" s="130"/>
      <c r="P390" s="130"/>
      <c r="Q390" s="130"/>
      <c r="R390" s="130"/>
      <c r="S390" s="130"/>
      <c r="T390" s="130"/>
      <c r="U390" s="130"/>
      <c r="V390" s="130"/>
      <c r="W390" s="130"/>
      <c r="X390" s="130"/>
      <c r="Y390" s="130"/>
      <c r="Z390" s="130"/>
      <c r="AA390" s="130"/>
      <c r="AB390" s="130"/>
      <c r="AC390" s="130"/>
      <c r="AD390" s="130"/>
      <c r="AE390" s="130"/>
      <c r="AF390" s="130"/>
      <c r="AG390" s="130"/>
      <c r="AH390" s="130"/>
      <c r="AI390" s="130"/>
      <c r="AJ390" s="130"/>
    </row>
    <row r="391" spans="1:36" s="6" customFormat="1" ht="32.450000000000003" customHeight="1" x14ac:dyDescent="0.25">
      <c r="A391" s="369"/>
      <c r="B391" s="370"/>
      <c r="C391" s="370"/>
      <c r="D391" s="370"/>
      <c r="E391" s="259" t="s">
        <v>245</v>
      </c>
      <c r="F391" s="259" t="s">
        <v>246</v>
      </c>
      <c r="G391" s="259" t="s">
        <v>341</v>
      </c>
      <c r="H391" s="259" t="s">
        <v>342</v>
      </c>
      <c r="I391" s="259" t="s">
        <v>343</v>
      </c>
      <c r="J391" s="262" t="s">
        <v>8</v>
      </c>
      <c r="K391" s="372"/>
      <c r="L391" s="391"/>
      <c r="M391" s="131"/>
      <c r="N391" s="131"/>
      <c r="O391" s="131"/>
      <c r="P391" s="131"/>
      <c r="Q391" s="131"/>
      <c r="R391" s="131"/>
      <c r="S391" s="131"/>
      <c r="T391" s="131"/>
      <c r="U391" s="131"/>
      <c r="V391" s="131"/>
      <c r="W391" s="131"/>
      <c r="X391" s="131"/>
      <c r="Y391" s="131"/>
      <c r="Z391" s="131"/>
      <c r="AA391" s="131"/>
      <c r="AB391" s="131"/>
      <c r="AC391" s="131"/>
      <c r="AD391" s="131"/>
      <c r="AE391" s="131"/>
      <c r="AF391" s="131"/>
      <c r="AG391" s="131"/>
      <c r="AH391" s="131"/>
      <c r="AI391" s="131"/>
      <c r="AJ391" s="131"/>
    </row>
    <row r="392" spans="1:36" s="8" customFormat="1" ht="24.95" customHeight="1" x14ac:dyDescent="0.2">
      <c r="A392" s="11"/>
      <c r="B392" s="422" t="s">
        <v>319</v>
      </c>
      <c r="C392" s="422"/>
      <c r="D392" s="422"/>
      <c r="E392" s="422"/>
      <c r="F392" s="422"/>
      <c r="G392" s="422"/>
      <c r="H392" s="422"/>
      <c r="I392" s="422"/>
      <c r="J392" s="422"/>
      <c r="K392" s="422"/>
      <c r="L392" s="422"/>
      <c r="M392" s="133"/>
      <c r="N392" s="133"/>
      <c r="O392" s="133"/>
      <c r="P392" s="133"/>
      <c r="Q392" s="133"/>
      <c r="R392" s="133"/>
      <c r="S392" s="133"/>
      <c r="T392" s="133"/>
      <c r="U392" s="133"/>
      <c r="V392" s="133"/>
      <c r="W392" s="133"/>
      <c r="X392" s="133"/>
      <c r="Y392" s="133"/>
      <c r="Z392" s="133"/>
      <c r="AA392" s="133"/>
      <c r="AB392" s="133"/>
      <c r="AC392" s="133"/>
      <c r="AD392" s="133"/>
      <c r="AE392" s="133"/>
      <c r="AF392" s="133"/>
      <c r="AG392" s="133"/>
      <c r="AH392" s="133"/>
      <c r="AI392" s="133"/>
      <c r="AJ392" s="133"/>
    </row>
    <row r="393" spans="1:36" s="8" customFormat="1" ht="24.95" customHeight="1" x14ac:dyDescent="0.2">
      <c r="A393" s="11" t="s">
        <v>27</v>
      </c>
      <c r="B393" s="408" t="s">
        <v>321</v>
      </c>
      <c r="C393" s="392"/>
      <c r="D393" s="29" t="s">
        <v>241</v>
      </c>
      <c r="E393" s="315">
        <v>0</v>
      </c>
      <c r="F393" s="270">
        <v>1</v>
      </c>
      <c r="G393" s="315">
        <v>0</v>
      </c>
      <c r="H393" s="315">
        <v>0</v>
      </c>
      <c r="I393" s="315">
        <v>0</v>
      </c>
      <c r="J393" s="332">
        <f>SUM(E393:I393)</f>
        <v>1</v>
      </c>
      <c r="K393" s="20">
        <v>0</v>
      </c>
      <c r="L393" s="67">
        <f>J393*K393</f>
        <v>0</v>
      </c>
      <c r="M393" s="133"/>
      <c r="N393" s="133"/>
      <c r="O393" s="133"/>
      <c r="P393" s="133"/>
      <c r="Q393" s="133"/>
      <c r="R393" s="133"/>
      <c r="S393" s="133"/>
      <c r="T393" s="133"/>
      <c r="U393" s="133"/>
      <c r="V393" s="133"/>
      <c r="W393" s="133"/>
      <c r="X393" s="133"/>
      <c r="Y393" s="133"/>
      <c r="Z393" s="133"/>
      <c r="AA393" s="133"/>
      <c r="AB393" s="133"/>
      <c r="AC393" s="133"/>
      <c r="AD393" s="133"/>
      <c r="AE393" s="133"/>
      <c r="AF393" s="133"/>
      <c r="AG393" s="133"/>
      <c r="AH393" s="133"/>
      <c r="AI393" s="133"/>
      <c r="AJ393" s="133"/>
    </row>
    <row r="394" spans="1:36" ht="24.95" customHeight="1" x14ac:dyDescent="0.2">
      <c r="A394" s="11"/>
      <c r="B394" s="473" t="s">
        <v>320</v>
      </c>
      <c r="C394" s="473"/>
      <c r="D394" s="26"/>
      <c r="E394" s="229"/>
      <c r="F394" s="229"/>
      <c r="G394" s="229"/>
      <c r="H394" s="229"/>
      <c r="I394" s="229"/>
      <c r="J394" s="231"/>
      <c r="K394" s="27"/>
      <c r="L394" s="70">
        <f>SUM(L393:L393)</f>
        <v>0</v>
      </c>
    </row>
    <row r="395" spans="1:36" s="8" customFormat="1" ht="24.95" customHeight="1" x14ac:dyDescent="0.2">
      <c r="A395" s="11"/>
      <c r="B395" s="422" t="s">
        <v>327</v>
      </c>
      <c r="C395" s="422"/>
      <c r="D395" s="422"/>
      <c r="E395" s="422"/>
      <c r="F395" s="422"/>
      <c r="G395" s="422"/>
      <c r="H395" s="422"/>
      <c r="I395" s="422"/>
      <c r="J395" s="422"/>
      <c r="K395" s="422"/>
      <c r="L395" s="422"/>
      <c r="M395" s="133"/>
      <c r="N395" s="133"/>
      <c r="O395" s="133"/>
      <c r="P395" s="133"/>
      <c r="Q395" s="133"/>
      <c r="R395" s="133"/>
      <c r="S395" s="133"/>
      <c r="T395" s="133"/>
      <c r="U395" s="133"/>
      <c r="V395" s="133"/>
      <c r="W395" s="133"/>
      <c r="X395" s="133"/>
      <c r="Y395" s="133"/>
      <c r="Z395" s="133"/>
      <c r="AA395" s="133"/>
      <c r="AB395" s="133"/>
      <c r="AC395" s="133"/>
      <c r="AD395" s="133"/>
      <c r="AE395" s="133"/>
      <c r="AF395" s="133"/>
      <c r="AG395" s="133"/>
      <c r="AH395" s="133"/>
      <c r="AI395" s="133"/>
      <c r="AJ395" s="133"/>
    </row>
    <row r="396" spans="1:36" s="8" customFormat="1" ht="24.95" customHeight="1" x14ac:dyDescent="0.2">
      <c r="A396" s="102">
        <v>132201101</v>
      </c>
      <c r="B396" s="408" t="s">
        <v>332</v>
      </c>
      <c r="C396" s="392"/>
      <c r="D396" s="29" t="s">
        <v>15</v>
      </c>
      <c r="E396" s="315">
        <v>62.8</v>
      </c>
      <c r="F396" s="315">
        <v>0</v>
      </c>
      <c r="G396" s="315">
        <v>0</v>
      </c>
      <c r="H396" s="315">
        <v>0</v>
      </c>
      <c r="I396" s="315">
        <v>0</v>
      </c>
      <c r="J396" s="332">
        <f>SUM(E396:I396)</f>
        <v>62.8</v>
      </c>
      <c r="K396" s="20">
        <v>0</v>
      </c>
      <c r="L396" s="67">
        <f>J396*K396</f>
        <v>0</v>
      </c>
      <c r="M396" s="133"/>
      <c r="N396" s="133"/>
      <c r="O396" s="133"/>
      <c r="P396" s="133"/>
      <c r="Q396" s="133"/>
      <c r="R396" s="133"/>
      <c r="S396" s="133"/>
      <c r="T396" s="133"/>
      <c r="U396" s="133"/>
      <c r="V396" s="133"/>
      <c r="W396" s="133"/>
      <c r="X396" s="133"/>
      <c r="Y396" s="133"/>
      <c r="Z396" s="133"/>
      <c r="AA396" s="133"/>
      <c r="AB396" s="133"/>
      <c r="AC396" s="133"/>
      <c r="AD396" s="133"/>
      <c r="AE396" s="133"/>
      <c r="AF396" s="133"/>
      <c r="AG396" s="133"/>
      <c r="AH396" s="133"/>
      <c r="AI396" s="133"/>
      <c r="AJ396" s="133"/>
    </row>
    <row r="397" spans="1:36" s="8" customFormat="1" ht="24.95" customHeight="1" x14ac:dyDescent="0.2">
      <c r="A397" s="102">
        <v>339921111</v>
      </c>
      <c r="B397" s="408" t="s">
        <v>331</v>
      </c>
      <c r="C397" s="392"/>
      <c r="D397" s="29" t="s">
        <v>9</v>
      </c>
      <c r="E397" s="315">
        <v>698</v>
      </c>
      <c r="F397" s="315">
        <v>0</v>
      </c>
      <c r="G397" s="315">
        <v>0</v>
      </c>
      <c r="H397" s="315">
        <v>0</v>
      </c>
      <c r="I397" s="315">
        <v>0</v>
      </c>
      <c r="J397" s="332">
        <f>SUM(E397:I397)</f>
        <v>698</v>
      </c>
      <c r="K397" s="20">
        <v>0</v>
      </c>
      <c r="L397" s="67">
        <f>J397*K397</f>
        <v>0</v>
      </c>
      <c r="M397" s="133"/>
      <c r="N397" s="133"/>
      <c r="O397" s="133"/>
      <c r="P397" s="133"/>
      <c r="Q397" s="133"/>
      <c r="R397" s="133"/>
      <c r="S397" s="133"/>
      <c r="T397" s="133"/>
      <c r="U397" s="133"/>
      <c r="V397" s="133"/>
      <c r="W397" s="133"/>
      <c r="X397" s="133"/>
      <c r="Y397" s="133"/>
      <c r="Z397" s="133"/>
      <c r="AA397" s="133"/>
      <c r="AB397" s="133"/>
      <c r="AC397" s="133"/>
      <c r="AD397" s="133"/>
      <c r="AE397" s="133"/>
      <c r="AF397" s="133"/>
      <c r="AG397" s="133"/>
      <c r="AH397" s="133"/>
      <c r="AI397" s="133"/>
      <c r="AJ397" s="133"/>
    </row>
    <row r="398" spans="1:36" s="8" customFormat="1" ht="24.95" customHeight="1" x14ac:dyDescent="0.2">
      <c r="A398" s="103" t="s">
        <v>28</v>
      </c>
      <c r="B398" s="110" t="s">
        <v>334</v>
      </c>
      <c r="C398" s="108"/>
      <c r="D398" s="29" t="s">
        <v>9</v>
      </c>
      <c r="E398" s="315">
        <v>698</v>
      </c>
      <c r="F398" s="315">
        <v>0</v>
      </c>
      <c r="G398" s="315">
        <v>0</v>
      </c>
      <c r="H398" s="315">
        <v>0</v>
      </c>
      <c r="I398" s="315">
        <v>0</v>
      </c>
      <c r="J398" s="332">
        <f>SUM(E398:I398)</f>
        <v>698</v>
      </c>
      <c r="K398" s="20">
        <v>0</v>
      </c>
      <c r="L398" s="67">
        <f>J398*K398</f>
        <v>0</v>
      </c>
      <c r="M398" s="133"/>
      <c r="N398" s="133"/>
      <c r="O398" s="133"/>
      <c r="P398" s="133"/>
      <c r="Q398" s="133"/>
      <c r="R398" s="133"/>
      <c r="S398" s="133"/>
      <c r="T398" s="133"/>
      <c r="U398" s="133"/>
      <c r="V398" s="133"/>
      <c r="W398" s="133"/>
      <c r="X398" s="133"/>
      <c r="Y398" s="133"/>
      <c r="Z398" s="133"/>
      <c r="AA398" s="133"/>
      <c r="AB398" s="133"/>
      <c r="AC398" s="133"/>
      <c r="AD398" s="133"/>
      <c r="AE398" s="133"/>
      <c r="AF398" s="133"/>
      <c r="AG398" s="133"/>
      <c r="AH398" s="133"/>
      <c r="AI398" s="133"/>
      <c r="AJ398" s="133"/>
    </row>
    <row r="399" spans="1:36" s="8" customFormat="1" ht="24.95" customHeight="1" x14ac:dyDescent="0.2">
      <c r="A399" s="103" t="s">
        <v>27</v>
      </c>
      <c r="B399" s="380" t="s">
        <v>333</v>
      </c>
      <c r="C399" s="381"/>
      <c r="D399" s="29" t="s">
        <v>144</v>
      </c>
      <c r="E399" s="315">
        <v>104.7</v>
      </c>
      <c r="F399" s="315">
        <v>0</v>
      </c>
      <c r="G399" s="315">
        <v>0</v>
      </c>
      <c r="H399" s="315">
        <v>0</v>
      </c>
      <c r="I399" s="315">
        <v>0</v>
      </c>
      <c r="J399" s="332">
        <f>SUM(E399:I399)</f>
        <v>104.7</v>
      </c>
      <c r="K399" s="20">
        <v>0</v>
      </c>
      <c r="L399" s="67">
        <f>J399*K399</f>
        <v>0</v>
      </c>
      <c r="M399" s="133"/>
      <c r="N399" s="133"/>
      <c r="O399" s="133"/>
      <c r="P399" s="133"/>
      <c r="Q399" s="133"/>
      <c r="R399" s="133"/>
      <c r="S399" s="133"/>
      <c r="T399" s="133"/>
      <c r="U399" s="133"/>
      <c r="V399" s="133"/>
      <c r="W399" s="133"/>
      <c r="X399" s="133"/>
      <c r="Y399" s="133"/>
      <c r="Z399" s="133"/>
      <c r="AA399" s="133"/>
      <c r="AB399" s="133"/>
      <c r="AC399" s="133"/>
      <c r="AD399" s="133"/>
      <c r="AE399" s="133"/>
      <c r="AF399" s="133"/>
      <c r="AG399" s="133"/>
      <c r="AH399" s="133"/>
      <c r="AI399" s="133"/>
      <c r="AJ399" s="133"/>
    </row>
    <row r="400" spans="1:36" ht="24.95" customHeight="1" x14ac:dyDescent="0.2">
      <c r="A400" s="11"/>
      <c r="B400" s="473" t="s">
        <v>328</v>
      </c>
      <c r="C400" s="473"/>
      <c r="D400" s="26"/>
      <c r="E400" s="229"/>
      <c r="F400" s="229"/>
      <c r="G400" s="229"/>
      <c r="H400" s="229"/>
      <c r="I400" s="229"/>
      <c r="J400" s="231"/>
      <c r="K400" s="27"/>
      <c r="L400" s="70">
        <f>SUM(L396:L399)</f>
        <v>0</v>
      </c>
    </row>
    <row r="401" spans="1:36" s="8" customFormat="1" ht="24.95" customHeight="1" x14ac:dyDescent="0.2">
      <c r="A401" s="11"/>
      <c r="B401" s="422" t="s">
        <v>329</v>
      </c>
      <c r="C401" s="422"/>
      <c r="D401" s="422"/>
      <c r="E401" s="422"/>
      <c r="F401" s="422"/>
      <c r="G401" s="422"/>
      <c r="H401" s="422"/>
      <c r="I401" s="422"/>
      <c r="J401" s="422"/>
      <c r="K401" s="422"/>
      <c r="L401" s="422"/>
      <c r="M401" s="133"/>
      <c r="N401" s="133"/>
      <c r="O401" s="133"/>
      <c r="P401" s="133"/>
      <c r="Q401" s="133"/>
      <c r="R401" s="133"/>
      <c r="S401" s="133"/>
      <c r="T401" s="133"/>
      <c r="U401" s="133"/>
      <c r="V401" s="133"/>
      <c r="W401" s="133"/>
      <c r="X401" s="133"/>
      <c r="Y401" s="133"/>
      <c r="Z401" s="133"/>
      <c r="AA401" s="133"/>
      <c r="AB401" s="133"/>
      <c r="AC401" s="133"/>
      <c r="AD401" s="133"/>
      <c r="AE401" s="133"/>
      <c r="AF401" s="133"/>
      <c r="AG401" s="133"/>
      <c r="AH401" s="133"/>
      <c r="AI401" s="133"/>
      <c r="AJ401" s="133"/>
    </row>
    <row r="402" spans="1:36" s="8" customFormat="1" ht="24.95" customHeight="1" x14ac:dyDescent="0.2">
      <c r="A402" s="103" t="s">
        <v>28</v>
      </c>
      <c r="B402" s="408" t="s">
        <v>338</v>
      </c>
      <c r="C402" s="392"/>
      <c r="D402" s="29" t="s">
        <v>14</v>
      </c>
      <c r="E402" s="315">
        <v>0</v>
      </c>
      <c r="F402" s="270">
        <v>8</v>
      </c>
      <c r="G402" s="315">
        <v>0</v>
      </c>
      <c r="H402" s="315">
        <v>0</v>
      </c>
      <c r="I402" s="315">
        <v>0</v>
      </c>
      <c r="J402" s="332">
        <f>SUM(E402:I402)</f>
        <v>8</v>
      </c>
      <c r="K402" s="20">
        <v>0</v>
      </c>
      <c r="L402" s="67">
        <f>J402*K402</f>
        <v>0</v>
      </c>
      <c r="M402" s="133"/>
      <c r="N402" s="133"/>
      <c r="O402" s="133"/>
      <c r="P402" s="133"/>
      <c r="Q402" s="133"/>
      <c r="R402" s="133"/>
      <c r="S402" s="133"/>
      <c r="T402" s="133"/>
      <c r="U402" s="133"/>
      <c r="V402" s="133"/>
      <c r="W402" s="133"/>
      <c r="X402" s="133"/>
      <c r="Y402" s="133"/>
      <c r="Z402" s="133"/>
      <c r="AA402" s="133"/>
      <c r="AB402" s="133"/>
      <c r="AC402" s="133"/>
      <c r="AD402" s="133"/>
      <c r="AE402" s="133"/>
      <c r="AF402" s="133"/>
      <c r="AG402" s="133"/>
      <c r="AH402" s="133"/>
      <c r="AI402" s="133"/>
      <c r="AJ402" s="133"/>
    </row>
    <row r="403" spans="1:36" s="8" customFormat="1" ht="24.95" customHeight="1" x14ac:dyDescent="0.2">
      <c r="A403" s="103" t="s">
        <v>27</v>
      </c>
      <c r="B403" s="408" t="s">
        <v>380</v>
      </c>
      <c r="C403" s="408"/>
      <c r="D403" s="29" t="s">
        <v>241</v>
      </c>
      <c r="E403" s="315">
        <v>0</v>
      </c>
      <c r="F403" s="270">
        <v>1</v>
      </c>
      <c r="G403" s="315">
        <v>0</v>
      </c>
      <c r="H403" s="315">
        <v>0</v>
      </c>
      <c r="I403" s="315">
        <v>0</v>
      </c>
      <c r="J403" s="332">
        <f>SUM(E403:I403)</f>
        <v>1</v>
      </c>
      <c r="K403" s="20">
        <v>0</v>
      </c>
      <c r="L403" s="67">
        <f t="shared" ref="L403:L404" si="238">J403*K403</f>
        <v>0</v>
      </c>
      <c r="M403" s="133"/>
      <c r="N403" s="133"/>
      <c r="O403" s="133"/>
      <c r="P403" s="133"/>
      <c r="Q403" s="133"/>
      <c r="R403" s="133"/>
      <c r="S403" s="133"/>
      <c r="T403" s="133"/>
      <c r="U403" s="133"/>
      <c r="V403" s="133"/>
      <c r="W403" s="133"/>
      <c r="X403" s="133"/>
      <c r="Y403" s="133"/>
      <c r="Z403" s="133"/>
      <c r="AA403" s="133"/>
      <c r="AB403" s="133"/>
      <c r="AC403" s="133"/>
      <c r="AD403" s="133"/>
      <c r="AE403" s="133"/>
      <c r="AF403" s="133"/>
      <c r="AG403" s="133"/>
      <c r="AH403" s="133"/>
      <c r="AI403" s="133"/>
      <c r="AJ403" s="133"/>
    </row>
    <row r="404" spans="1:36" s="8" customFormat="1" ht="24.95" customHeight="1" x14ac:dyDescent="0.2">
      <c r="A404" s="103" t="s">
        <v>27</v>
      </c>
      <c r="B404" s="408" t="s">
        <v>381</v>
      </c>
      <c r="C404" s="408"/>
      <c r="D404" s="29" t="s">
        <v>241</v>
      </c>
      <c r="E404" s="315">
        <v>0</v>
      </c>
      <c r="F404" s="270">
        <v>1</v>
      </c>
      <c r="G404" s="315">
        <v>0</v>
      </c>
      <c r="H404" s="315">
        <v>0</v>
      </c>
      <c r="I404" s="315">
        <v>0</v>
      </c>
      <c r="J404" s="332">
        <f>SUM(E404:I404)</f>
        <v>1</v>
      </c>
      <c r="K404" s="20">
        <v>0</v>
      </c>
      <c r="L404" s="67">
        <f t="shared" si="238"/>
        <v>0</v>
      </c>
      <c r="M404" s="133"/>
      <c r="N404" s="133"/>
      <c r="O404" s="133"/>
      <c r="P404" s="133"/>
      <c r="Q404" s="133"/>
      <c r="R404" s="133"/>
      <c r="S404" s="133"/>
      <c r="T404" s="133"/>
      <c r="U404" s="133"/>
      <c r="V404" s="133"/>
      <c r="W404" s="133"/>
      <c r="X404" s="133"/>
      <c r="Y404" s="133"/>
      <c r="Z404" s="133"/>
      <c r="AA404" s="133"/>
      <c r="AB404" s="133"/>
      <c r="AC404" s="133"/>
      <c r="AD404" s="133"/>
      <c r="AE404" s="133"/>
      <c r="AF404" s="133"/>
      <c r="AG404" s="133"/>
      <c r="AH404" s="133"/>
      <c r="AI404" s="133"/>
      <c r="AJ404" s="133"/>
    </row>
    <row r="405" spans="1:36" ht="24.95" customHeight="1" x14ac:dyDescent="0.2">
      <c r="A405" s="11"/>
      <c r="B405" s="473" t="s">
        <v>330</v>
      </c>
      <c r="C405" s="473"/>
      <c r="D405" s="26"/>
      <c r="E405" s="229"/>
      <c r="F405" s="229"/>
      <c r="G405" s="229"/>
      <c r="H405" s="229"/>
      <c r="I405" s="229"/>
      <c r="J405" s="355"/>
      <c r="K405" s="27"/>
      <c r="L405" s="70">
        <f>SUM(L402:L404)</f>
        <v>0</v>
      </c>
    </row>
    <row r="406" spans="1:36" s="8" customFormat="1" ht="24.95" customHeight="1" x14ac:dyDescent="0.2">
      <c r="A406" s="11"/>
      <c r="B406" s="422" t="s">
        <v>373</v>
      </c>
      <c r="C406" s="422"/>
      <c r="D406" s="422"/>
      <c r="E406" s="422"/>
      <c r="F406" s="422"/>
      <c r="G406" s="422"/>
      <c r="H406" s="422"/>
      <c r="I406" s="422"/>
      <c r="J406" s="422"/>
      <c r="K406" s="422"/>
      <c r="L406" s="422"/>
      <c r="M406" s="133"/>
      <c r="N406" s="133"/>
      <c r="O406" s="133"/>
      <c r="P406" s="133"/>
      <c r="Q406" s="133"/>
      <c r="R406" s="133"/>
      <c r="S406" s="133"/>
      <c r="T406" s="133"/>
      <c r="U406" s="133"/>
      <c r="V406" s="133"/>
      <c r="W406" s="133"/>
      <c r="X406" s="133"/>
      <c r="Y406" s="133"/>
      <c r="Z406" s="133"/>
      <c r="AA406" s="133"/>
      <c r="AB406" s="133"/>
      <c r="AC406" s="133"/>
      <c r="AD406" s="133"/>
      <c r="AE406" s="133"/>
      <c r="AF406" s="133"/>
      <c r="AG406" s="133"/>
      <c r="AH406" s="133"/>
      <c r="AI406" s="133"/>
      <c r="AJ406" s="133"/>
    </row>
    <row r="407" spans="1:36" s="8" customFormat="1" ht="24.95" customHeight="1" x14ac:dyDescent="0.2">
      <c r="A407" s="103" t="s">
        <v>28</v>
      </c>
      <c r="B407" s="408" t="s">
        <v>375</v>
      </c>
      <c r="C407" s="392"/>
      <c r="D407" s="29" t="s">
        <v>9</v>
      </c>
      <c r="E407" s="315">
        <v>0</v>
      </c>
      <c r="F407" s="315">
        <v>0</v>
      </c>
      <c r="G407" s="315">
        <v>4</v>
      </c>
      <c r="H407" s="315">
        <v>0</v>
      </c>
      <c r="I407" s="315">
        <v>0</v>
      </c>
      <c r="J407" s="332">
        <f>SUM(E407:I407)</f>
        <v>4</v>
      </c>
      <c r="K407" s="20">
        <v>0</v>
      </c>
      <c r="L407" s="67">
        <f>J407*K407</f>
        <v>0</v>
      </c>
      <c r="M407" s="133"/>
      <c r="N407" s="133"/>
      <c r="O407" s="133"/>
      <c r="P407" s="133"/>
      <c r="Q407" s="133"/>
      <c r="R407" s="133"/>
      <c r="S407" s="133"/>
      <c r="T407" s="133"/>
      <c r="U407" s="133"/>
      <c r="V407" s="133"/>
      <c r="W407" s="133"/>
      <c r="X407" s="133"/>
      <c r="Y407" s="133"/>
      <c r="Z407" s="133"/>
      <c r="AA407" s="133"/>
      <c r="AB407" s="133"/>
      <c r="AC407" s="133"/>
      <c r="AD407" s="133"/>
      <c r="AE407" s="133"/>
      <c r="AF407" s="133"/>
      <c r="AG407" s="133"/>
      <c r="AH407" s="133"/>
      <c r="AI407" s="133"/>
      <c r="AJ407" s="133"/>
    </row>
    <row r="408" spans="1:36" s="8" customFormat="1" ht="24.95" customHeight="1" x14ac:dyDescent="0.2">
      <c r="A408" s="103" t="s">
        <v>27</v>
      </c>
      <c r="B408" s="408" t="s">
        <v>376</v>
      </c>
      <c r="C408" s="408"/>
      <c r="D408" s="29" t="s">
        <v>9</v>
      </c>
      <c r="E408" s="315">
        <v>0</v>
      </c>
      <c r="F408" s="315">
        <v>0</v>
      </c>
      <c r="G408" s="315">
        <v>4</v>
      </c>
      <c r="H408" s="315">
        <v>0</v>
      </c>
      <c r="I408" s="315">
        <v>0</v>
      </c>
      <c r="J408" s="332">
        <f>SUM(E408:I408)</f>
        <v>4</v>
      </c>
      <c r="K408" s="20">
        <v>0</v>
      </c>
      <c r="L408" s="67">
        <f>J408*K408</f>
        <v>0</v>
      </c>
      <c r="M408" s="133"/>
      <c r="N408" s="133"/>
      <c r="O408" s="133"/>
      <c r="P408" s="133"/>
      <c r="Q408" s="133"/>
      <c r="R408" s="133"/>
      <c r="S408" s="133"/>
      <c r="T408" s="133"/>
      <c r="U408" s="133"/>
      <c r="V408" s="133"/>
      <c r="W408" s="133"/>
      <c r="X408" s="133"/>
      <c r="Y408" s="133"/>
      <c r="Z408" s="133"/>
      <c r="AA408" s="133"/>
      <c r="AB408" s="133"/>
      <c r="AC408" s="133"/>
      <c r="AD408" s="133"/>
      <c r="AE408" s="133"/>
      <c r="AF408" s="133"/>
      <c r="AG408" s="133"/>
      <c r="AH408" s="133"/>
      <c r="AI408" s="133"/>
      <c r="AJ408" s="133"/>
    </row>
    <row r="409" spans="1:36" ht="24.95" customHeight="1" x14ac:dyDescent="0.2">
      <c r="A409" s="11"/>
      <c r="B409" s="473" t="s">
        <v>374</v>
      </c>
      <c r="C409" s="473"/>
      <c r="D409" s="26"/>
      <c r="E409" s="229"/>
      <c r="F409" s="229"/>
      <c r="G409" s="229"/>
      <c r="H409" s="229"/>
      <c r="I409" s="229"/>
      <c r="J409" s="231"/>
      <c r="K409" s="27"/>
      <c r="L409" s="70">
        <f>SUM(L407:L408)</f>
        <v>0</v>
      </c>
    </row>
    <row r="410" spans="1:36" ht="37.5" customHeight="1" x14ac:dyDescent="0.2">
      <c r="A410" s="100"/>
      <c r="B410" s="483" t="s">
        <v>378</v>
      </c>
      <c r="C410" s="483"/>
      <c r="D410" s="483"/>
      <c r="E410" s="483"/>
      <c r="F410" s="483"/>
      <c r="G410" s="483"/>
      <c r="H410" s="483"/>
      <c r="I410" s="483"/>
      <c r="J410" s="483"/>
      <c r="K410" s="483"/>
      <c r="L410" s="101">
        <f>SUM(L409,L405,L400,L394)</f>
        <v>0</v>
      </c>
    </row>
    <row r="411" spans="1:36" ht="24.95" customHeight="1" x14ac:dyDescent="0.2">
      <c r="A411" s="107"/>
      <c r="B411" s="475" t="s">
        <v>168</v>
      </c>
      <c r="C411" s="476"/>
      <c r="D411" s="476"/>
      <c r="E411" s="476"/>
      <c r="F411" s="476"/>
      <c r="G411" s="476"/>
      <c r="H411" s="476"/>
      <c r="I411" s="476"/>
      <c r="J411" s="476"/>
      <c r="K411" s="476"/>
      <c r="L411" s="477"/>
    </row>
    <row r="412" spans="1:36" ht="24.95" customHeight="1" x14ac:dyDescent="0.2">
      <c r="A412" s="107"/>
      <c r="B412" s="478" t="s">
        <v>157</v>
      </c>
      <c r="C412" s="479"/>
      <c r="D412" s="479"/>
      <c r="E412" s="479"/>
      <c r="F412" s="479"/>
      <c r="G412" s="479"/>
      <c r="H412" s="479"/>
      <c r="I412" s="479"/>
      <c r="J412" s="479"/>
      <c r="K412" s="479"/>
      <c r="L412" s="480"/>
    </row>
    <row r="413" spans="1:36" ht="24.95" customHeight="1" x14ac:dyDescent="0.2">
      <c r="A413" s="87"/>
      <c r="B413" s="478" t="s">
        <v>158</v>
      </c>
      <c r="C413" s="479"/>
      <c r="D413" s="479"/>
      <c r="E413" s="479"/>
      <c r="F413" s="479"/>
      <c r="G413" s="479"/>
      <c r="H413" s="479"/>
      <c r="I413" s="479"/>
      <c r="J413" s="479"/>
      <c r="K413" s="479"/>
      <c r="L413" s="480"/>
    </row>
    <row r="414" spans="1:36" ht="24.95" customHeight="1" x14ac:dyDescent="0.2">
      <c r="A414" s="14"/>
      <c r="D414" s="13"/>
      <c r="E414" s="238"/>
      <c r="F414" s="238"/>
      <c r="G414" s="238"/>
      <c r="H414" s="238"/>
      <c r="I414" s="238"/>
      <c r="J414" s="239"/>
      <c r="K414" s="15"/>
      <c r="L414" s="74"/>
    </row>
    <row r="415" spans="1:36" x14ac:dyDescent="0.2">
      <c r="A415" s="83"/>
      <c r="B415" s="83"/>
      <c r="C415" s="83"/>
      <c r="D415" s="83"/>
      <c r="E415" s="83"/>
      <c r="F415" s="83"/>
      <c r="G415" s="83"/>
      <c r="H415" s="83"/>
      <c r="I415" s="83"/>
      <c r="J415" s="83"/>
      <c r="K415" s="83"/>
    </row>
  </sheetData>
  <sheetProtection selectLockedCells="1" selectUnlockedCells="1"/>
  <mergeCells count="379">
    <mergeCell ref="A197:A198"/>
    <mergeCell ref="B167:C167"/>
    <mergeCell ref="A136:A137"/>
    <mergeCell ref="B256:C256"/>
    <mergeCell ref="B255:C255"/>
    <mergeCell ref="B244:L244"/>
    <mergeCell ref="B245:C245"/>
    <mergeCell ref="B260:C260"/>
    <mergeCell ref="B276:C276"/>
    <mergeCell ref="B252:L252"/>
    <mergeCell ref="B269:C269"/>
    <mergeCell ref="B247:C247"/>
    <mergeCell ref="B248:C248"/>
    <mergeCell ref="B259:C259"/>
    <mergeCell ref="B258:C258"/>
    <mergeCell ref="B253:C253"/>
    <mergeCell ref="B254:C254"/>
    <mergeCell ref="B155:C155"/>
    <mergeCell ref="B156:C156"/>
    <mergeCell ref="B157:C157"/>
    <mergeCell ref="B206:K206"/>
    <mergeCell ref="B207:K207"/>
    <mergeCell ref="B217:C217"/>
    <mergeCell ref="B204:C204"/>
    <mergeCell ref="A282:A283"/>
    <mergeCell ref="B270:C270"/>
    <mergeCell ref="B261:C261"/>
    <mergeCell ref="D367:D368"/>
    <mergeCell ref="E367:J367"/>
    <mergeCell ref="K367:K368"/>
    <mergeCell ref="B265:C265"/>
    <mergeCell ref="B312:C312"/>
    <mergeCell ref="B309:C309"/>
    <mergeCell ref="B264:C264"/>
    <mergeCell ref="B277:C277"/>
    <mergeCell ref="B311:C311"/>
    <mergeCell ref="B301:C301"/>
    <mergeCell ref="B281:C281"/>
    <mergeCell ref="B298:L298"/>
    <mergeCell ref="B274:C274"/>
    <mergeCell ref="B310:C310"/>
    <mergeCell ref="B294:C294"/>
    <mergeCell ref="B272:C272"/>
    <mergeCell ref="B275:C275"/>
    <mergeCell ref="B307:C307"/>
    <mergeCell ref="B293:C293"/>
    <mergeCell ref="B328:C329"/>
    <mergeCell ref="B411:L411"/>
    <mergeCell ref="B412:L412"/>
    <mergeCell ref="B413:L413"/>
    <mergeCell ref="B334:C334"/>
    <mergeCell ref="B382:C382"/>
    <mergeCell ref="A348:A349"/>
    <mergeCell ref="A367:A368"/>
    <mergeCell ref="B367:C368"/>
    <mergeCell ref="B337:C337"/>
    <mergeCell ref="B408:C408"/>
    <mergeCell ref="B404:C404"/>
    <mergeCell ref="A390:A391"/>
    <mergeCell ref="B390:C391"/>
    <mergeCell ref="D390:D391"/>
    <mergeCell ref="E390:J390"/>
    <mergeCell ref="B410:K410"/>
    <mergeCell ref="B401:L401"/>
    <mergeCell ref="B389:L389"/>
    <mergeCell ref="B394:C394"/>
    <mergeCell ref="B402:C402"/>
    <mergeCell ref="B405:C405"/>
    <mergeCell ref="B392:L392"/>
    <mergeCell ref="B393:C393"/>
    <mergeCell ref="B403:C403"/>
    <mergeCell ref="B406:L406"/>
    <mergeCell ref="B407:C407"/>
    <mergeCell ref="B409:C409"/>
    <mergeCell ref="K390:K391"/>
    <mergeCell ref="A328:A329"/>
    <mergeCell ref="B346:C346"/>
    <mergeCell ref="B395:L395"/>
    <mergeCell ref="B397:C397"/>
    <mergeCell ref="B400:C400"/>
    <mergeCell ref="B396:C396"/>
    <mergeCell ref="D328:D329"/>
    <mergeCell ref="E328:J328"/>
    <mergeCell ref="B373:C373"/>
    <mergeCell ref="B378:C378"/>
    <mergeCell ref="B383:C383"/>
    <mergeCell ref="B380:C380"/>
    <mergeCell ref="L367:L368"/>
    <mergeCell ref="K328:K329"/>
    <mergeCell ref="L328:L329"/>
    <mergeCell ref="A62:A63"/>
    <mergeCell ref="B62:B63"/>
    <mergeCell ref="C62:C63"/>
    <mergeCell ref="B134:K134"/>
    <mergeCell ref="L62:L63"/>
    <mergeCell ref="K62:K63"/>
    <mergeCell ref="D62:D63"/>
    <mergeCell ref="B71:C71"/>
    <mergeCell ref="E62:J62"/>
    <mergeCell ref="B83:L83"/>
    <mergeCell ref="B133:C133"/>
    <mergeCell ref="B111:L111"/>
    <mergeCell ref="A117:A118"/>
    <mergeCell ref="B117:B118"/>
    <mergeCell ref="C117:C118"/>
    <mergeCell ref="D117:D118"/>
    <mergeCell ref="E117:J117"/>
    <mergeCell ref="K117:K118"/>
    <mergeCell ref="L117:L118"/>
    <mergeCell ref="B125:L125"/>
    <mergeCell ref="B132:C132"/>
    <mergeCell ref="B81:B82"/>
    <mergeCell ref="C81:C82"/>
    <mergeCell ref="D81:D82"/>
    <mergeCell ref="B216:C216"/>
    <mergeCell ref="B203:L203"/>
    <mergeCell ref="B205:C205"/>
    <mergeCell ref="E220:J220"/>
    <mergeCell ref="B61:L61"/>
    <mergeCell ref="B64:L64"/>
    <mergeCell ref="K136:K137"/>
    <mergeCell ref="E136:J136"/>
    <mergeCell ref="B135:L135"/>
    <mergeCell ref="B153:C153"/>
    <mergeCell ref="B168:C168"/>
    <mergeCell ref="B169:C169"/>
    <mergeCell ref="B170:C170"/>
    <mergeCell ref="B161:C161"/>
    <mergeCell ref="E98:J98"/>
    <mergeCell ref="K98:K99"/>
    <mergeCell ref="L98:L99"/>
    <mergeCell ref="B110:C110"/>
    <mergeCell ref="B119:L119"/>
    <mergeCell ref="B124:C124"/>
    <mergeCell ref="B100:L100"/>
    <mergeCell ref="B116:C116"/>
    <mergeCell ref="B142:C142"/>
    <mergeCell ref="B150:C150"/>
    <mergeCell ref="D136:D137"/>
    <mergeCell ref="B138:L138"/>
    <mergeCell ref="B139:L139"/>
    <mergeCell ref="B140:C140"/>
    <mergeCell ref="B141:C141"/>
    <mergeCell ref="B172:C172"/>
    <mergeCell ref="B175:C175"/>
    <mergeCell ref="B176:L176"/>
    <mergeCell ref="E197:J197"/>
    <mergeCell ref="K197:K198"/>
    <mergeCell ref="L197:L198"/>
    <mergeCell ref="B158:L158"/>
    <mergeCell ref="B159:C159"/>
    <mergeCell ref="B143:C143"/>
    <mergeCell ref="B144:L144"/>
    <mergeCell ref="B166:L166"/>
    <mergeCell ref="B154:L154"/>
    <mergeCell ref="B165:L165"/>
    <mergeCell ref="B160:C160"/>
    <mergeCell ref="B174:C174"/>
    <mergeCell ref="B146:C146"/>
    <mergeCell ref="B147:C147"/>
    <mergeCell ref="B148:C148"/>
    <mergeCell ref="B145:C145"/>
    <mergeCell ref="B219:C219"/>
    <mergeCell ref="B306:C306"/>
    <mergeCell ref="B313:C313"/>
    <mergeCell ref="B237:C237"/>
    <mergeCell ref="D296:D297"/>
    <mergeCell ref="B230:L230"/>
    <mergeCell ref="B232:C232"/>
    <mergeCell ref="B234:C234"/>
    <mergeCell ref="B225:C225"/>
    <mergeCell ref="L282:L283"/>
    <mergeCell ref="B249:C249"/>
    <mergeCell ref="B246:C246"/>
    <mergeCell ref="B236:C236"/>
    <mergeCell ref="B241:C241"/>
    <mergeCell ref="B223:C223"/>
    <mergeCell ref="B233:C233"/>
    <mergeCell ref="B224:C224"/>
    <mergeCell ref="E224:J224"/>
    <mergeCell ref="B266:C266"/>
    <mergeCell ref="B320:C320"/>
    <mergeCell ref="B338:C338"/>
    <mergeCell ref="B322:C322"/>
    <mergeCell ref="B271:C271"/>
    <mergeCell ref="B278:C278"/>
    <mergeCell ref="B273:C273"/>
    <mergeCell ref="B231:C231"/>
    <mergeCell ref="B239:C239"/>
    <mergeCell ref="B235:C235"/>
    <mergeCell ref="B243:C243"/>
    <mergeCell ref="B173:C173"/>
    <mergeCell ref="B363:C363"/>
    <mergeCell ref="B361:C361"/>
    <mergeCell ref="B257:C257"/>
    <mergeCell ref="B263:C263"/>
    <mergeCell ref="B268:C268"/>
    <mergeCell ref="B262:C262"/>
    <mergeCell ref="B381:C381"/>
    <mergeCell ref="B370:C370"/>
    <mergeCell ref="B366:L366"/>
    <mergeCell ref="B369:L369"/>
    <mergeCell ref="B376:C376"/>
    <mergeCell ref="B371:C371"/>
    <mergeCell ref="L250:L251"/>
    <mergeCell ref="B336:C336"/>
    <mergeCell ref="B340:C340"/>
    <mergeCell ref="B342:C342"/>
    <mergeCell ref="B335:C335"/>
    <mergeCell ref="B303:C303"/>
    <mergeCell ref="B305:C305"/>
    <mergeCell ref="B304:C304"/>
    <mergeCell ref="B324:C324"/>
    <mergeCell ref="B317:C317"/>
    <mergeCell ref="B318:C318"/>
    <mergeCell ref="B183:C183"/>
    <mergeCell ref="B189:C189"/>
    <mergeCell ref="B190:C190"/>
    <mergeCell ref="B191:L191"/>
    <mergeCell ref="B185:C185"/>
    <mergeCell ref="B178:C178"/>
    <mergeCell ref="B179:C179"/>
    <mergeCell ref="B180:C180"/>
    <mergeCell ref="B186:L186"/>
    <mergeCell ref="B187:C187"/>
    <mergeCell ref="L390:L391"/>
    <mergeCell ref="L296:L297"/>
    <mergeCell ref="B327:C327"/>
    <mergeCell ref="B379:C379"/>
    <mergeCell ref="K296:K297"/>
    <mergeCell ref="B344:C344"/>
    <mergeCell ref="B364:C364"/>
    <mergeCell ref="B351:C351"/>
    <mergeCell ref="B352:C352"/>
    <mergeCell ref="L348:L349"/>
    <mergeCell ref="K348:K349"/>
    <mergeCell ref="B347:C347"/>
    <mergeCell ref="B308:C308"/>
    <mergeCell ref="B345:C345"/>
    <mergeCell ref="B362:C362"/>
    <mergeCell ref="B375:C375"/>
    <mergeCell ref="B387:C387"/>
    <mergeCell ref="B372:C372"/>
    <mergeCell ref="B377:L377"/>
    <mergeCell ref="E387:J387"/>
    <mergeCell ref="B388:K388"/>
    <mergeCell ref="B323:C323"/>
    <mergeCell ref="B314:C314"/>
    <mergeCell ref="B319:C319"/>
    <mergeCell ref="A250:A251"/>
    <mergeCell ref="B250:C251"/>
    <mergeCell ref="A296:A297"/>
    <mergeCell ref="B299:C299"/>
    <mergeCell ref="B296:C297"/>
    <mergeCell ref="B365:K365"/>
    <mergeCell ref="B300:C300"/>
    <mergeCell ref="B267:C267"/>
    <mergeCell ref="B353:C353"/>
    <mergeCell ref="B358:C358"/>
    <mergeCell ref="B359:C359"/>
    <mergeCell ref="B333:C333"/>
    <mergeCell ref="B330:L330"/>
    <mergeCell ref="B350:L350"/>
    <mergeCell ref="B355:C355"/>
    <mergeCell ref="B356:C356"/>
    <mergeCell ref="B332:C332"/>
    <mergeCell ref="B331:C331"/>
    <mergeCell ref="B339:C339"/>
    <mergeCell ref="B343:C343"/>
    <mergeCell ref="B341:C341"/>
    <mergeCell ref="D282:D283"/>
    <mergeCell ref="E282:J282"/>
    <mergeCell ref="B292:C292"/>
    <mergeCell ref="B290:C290"/>
    <mergeCell ref="B374:C374"/>
    <mergeCell ref="B348:C349"/>
    <mergeCell ref="D348:D349"/>
    <mergeCell ref="E348:J348"/>
    <mergeCell ref="B302:C302"/>
    <mergeCell ref="B385:C385"/>
    <mergeCell ref="B386:C386"/>
    <mergeCell ref="B282:C283"/>
    <mergeCell ref="B360:C360"/>
    <mergeCell ref="C3:H3"/>
    <mergeCell ref="C4:H4"/>
    <mergeCell ref="C5:H5"/>
    <mergeCell ref="C7:E7"/>
    <mergeCell ref="C8:E8"/>
    <mergeCell ref="C9:E9"/>
    <mergeCell ref="C34:H34"/>
    <mergeCell ref="B291:C291"/>
    <mergeCell ref="B315:C315"/>
    <mergeCell ref="B238:C238"/>
    <mergeCell ref="B240:C240"/>
    <mergeCell ref="B295:C295"/>
    <mergeCell ref="B284:L284"/>
    <mergeCell ref="B289:C289"/>
    <mergeCell ref="D250:D251"/>
    <mergeCell ref="E296:J296"/>
    <mergeCell ref="K282:K283"/>
    <mergeCell ref="B242:C242"/>
    <mergeCell ref="L136:L137"/>
    <mergeCell ref="B149:L149"/>
    <mergeCell ref="B151:C151"/>
    <mergeCell ref="B152:C152"/>
    <mergeCell ref="B29:K29"/>
    <mergeCell ref="B208:L208"/>
    <mergeCell ref="A81:A82"/>
    <mergeCell ref="A98:A99"/>
    <mergeCell ref="B80:C80"/>
    <mergeCell ref="E81:J81"/>
    <mergeCell ref="K81:K82"/>
    <mergeCell ref="B72:L72"/>
    <mergeCell ref="B202:C202"/>
    <mergeCell ref="B196:L196"/>
    <mergeCell ref="B199:C199"/>
    <mergeCell ref="B192:C192"/>
    <mergeCell ref="B136:C137"/>
    <mergeCell ref="B177:C177"/>
    <mergeCell ref="B171:L171"/>
    <mergeCell ref="A163:A164"/>
    <mergeCell ref="D163:D164"/>
    <mergeCell ref="E163:J163"/>
    <mergeCell ref="K163:K164"/>
    <mergeCell ref="L163:L164"/>
    <mergeCell ref="L81:L82"/>
    <mergeCell ref="B97:C97"/>
    <mergeCell ref="B188:C188"/>
    <mergeCell ref="B184:C184"/>
    <mergeCell ref="B181:L181"/>
    <mergeCell ref="B182:C182"/>
    <mergeCell ref="B399:C399"/>
    <mergeCell ref="B56:K56"/>
    <mergeCell ref="B54:K54"/>
    <mergeCell ref="B52:K52"/>
    <mergeCell ref="B50:K50"/>
    <mergeCell ref="L228:L229"/>
    <mergeCell ref="B285:C285"/>
    <mergeCell ref="B286:C286"/>
    <mergeCell ref="B287:C287"/>
    <mergeCell ref="B288:C288"/>
    <mergeCell ref="B316:C316"/>
    <mergeCell ref="B321:C321"/>
    <mergeCell ref="B384:L384"/>
    <mergeCell ref="B98:B99"/>
    <mergeCell ref="C98:C99"/>
    <mergeCell ref="D98:D99"/>
    <mergeCell ref="E250:J250"/>
    <mergeCell ref="K250:K251"/>
    <mergeCell ref="B357:C357"/>
    <mergeCell ref="B163:C164"/>
    <mergeCell ref="B227:L227"/>
    <mergeCell ref="B226:K226"/>
    <mergeCell ref="B209:C210"/>
    <mergeCell ref="D209:D210"/>
    <mergeCell ref="A228:A229"/>
    <mergeCell ref="B228:C229"/>
    <mergeCell ref="D228:D229"/>
    <mergeCell ref="E228:J228"/>
    <mergeCell ref="K228:K229"/>
    <mergeCell ref="B197:C198"/>
    <mergeCell ref="D197:D198"/>
    <mergeCell ref="B193:C193"/>
    <mergeCell ref="B201:C201"/>
    <mergeCell ref="B194:C194"/>
    <mergeCell ref="B200:C200"/>
    <mergeCell ref="B213:C213"/>
    <mergeCell ref="B214:C214"/>
    <mergeCell ref="B215:C215"/>
    <mergeCell ref="B212:L212"/>
    <mergeCell ref="B211:L211"/>
    <mergeCell ref="B220:C220"/>
    <mergeCell ref="B218:C218"/>
    <mergeCell ref="B221:C221"/>
    <mergeCell ref="A209:A210"/>
    <mergeCell ref="E209:J209"/>
    <mergeCell ref="K209:K210"/>
    <mergeCell ref="L209:L210"/>
    <mergeCell ref="B222:L222"/>
  </mergeCells>
  <phoneticPr fontId="16" type="noConversion"/>
  <pageMargins left="0.39370078740157483" right="0.31496062992125984" top="0.39370078740157483" bottom="0.39370078740157483" header="0.51181102362204722" footer="0.51181102362204722"/>
  <pageSetup paperSize="9" scale="59" firstPageNumber="0" fitToHeight="0" orientation="landscape" horizontalDpi="4294967294" verticalDpi="300" r:id="rId1"/>
  <headerFooter alignWithMargins="0"/>
  <rowBreaks count="17" manualBreakCount="17">
    <brk id="31" max="11" man="1"/>
    <brk id="60" max="16383" man="1"/>
    <brk id="80" max="11" man="1"/>
    <brk id="97" max="11" man="1"/>
    <brk id="116" max="16383" man="1"/>
    <brk id="134" max="11" man="1"/>
    <brk id="162" max="11" man="1"/>
    <brk id="196" max="11" man="1"/>
    <brk id="207" max="16383" man="1"/>
    <brk id="226" max="11" man="1"/>
    <brk id="249" max="11" man="1"/>
    <brk id="281" max="11" man="1"/>
    <brk id="295" max="11" man="1"/>
    <brk id="327" max="11" man="1"/>
    <brk id="347" max="11" man="1"/>
    <brk id="365" max="16383" man="1"/>
    <brk id="38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5</vt:i4>
      </vt:variant>
    </vt:vector>
  </HeadingPairs>
  <TitlesOfParts>
    <vt:vector size="6" baseType="lpstr">
      <vt:lpstr>VÝKAZ VÝMĚR</vt:lpstr>
      <vt:lpstr>__xlnm.Print_Area_1</vt:lpstr>
      <vt:lpstr>Excel_BuiltIn_Print_Area_1_1</vt:lpstr>
      <vt:lpstr>Excel_BuiltIn_Print_Area_1_1_1</vt:lpstr>
      <vt:lpstr>Excel_BuiltIn_Print_Area_1_1_1_1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smradoch</dc:creator>
  <cp:lastModifiedBy>user</cp:lastModifiedBy>
  <cp:lastPrinted>2022-04-26T18:39:41Z</cp:lastPrinted>
  <dcterms:created xsi:type="dcterms:W3CDTF">2014-02-15T18:10:23Z</dcterms:created>
  <dcterms:modified xsi:type="dcterms:W3CDTF">2022-07-29T08:23:55Z</dcterms:modified>
</cp:coreProperties>
</file>